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28800" windowHeight="17500" activeTab="0"/>
  </bookViews>
  <sheets>
    <sheet name="Sheet1" sheetId="1" r:id="rId1"/>
    <sheet name="Sheet2" sheetId="2" r:id="rId2"/>
    <sheet name="Sheet3" sheetId="3" r:id="rId3"/>
    <sheet name="Sheet4" sheetId="4" r:id="rId4"/>
    <sheet name="Data for Graph 1" sheetId="5" r:id="rId5"/>
    <sheet name="Data for Graph 2" sheetId="6" r:id="rId6"/>
  </sheets>
  <definedNames>
    <definedName name="HTML_CodePage" hidden="1">1252</definedName>
    <definedName name="HTML_Control" hidden="1">{"'Sheet1'!$B$9:$F$13","'Sheet1'!$B$4:$G$14"}</definedName>
    <definedName name="HTML_Description" hidden="1">""</definedName>
    <definedName name="HTML_Email" hidden="1">""</definedName>
    <definedName name="HTML_Header" hidden="1">"Sheet1"</definedName>
    <definedName name="HTML_LastUpdate" hidden="1">"6/16/2000"</definedName>
    <definedName name="HTML_LineAfter" hidden="1">FALSE</definedName>
    <definedName name="HTML_LineBefore" hidden="1">FALSE</definedName>
    <definedName name="HTML_Name" hidden="1">"Michael Keenan"</definedName>
    <definedName name="HTML_OBDlg2" hidden="1">TRUE</definedName>
    <definedName name="HTML_OBDlg4" hidden="1">TRUE</definedName>
    <definedName name="HTML_OS" hidden="1">0</definedName>
    <definedName name="HTML_PathFile" hidden="1">"C:\My Documents\test1.htm"</definedName>
    <definedName name="HTML_Title" hidden="1">"mpsif-homepageperformance1"</definedName>
    <definedName name="_xlnm.Print_Area" localSheetId="0">'Sheet1'!$A$1:$T$345</definedName>
    <definedName name="Z_28D9C802_7A38_11D6_AA89_00C04F768677_.wvu.PrintArea" localSheetId="0" hidden="1">'Sheet1'!$A$1:$H$409</definedName>
    <definedName name="Z_28D9C804_7A38_11D6_AA89_00C04F768677_.wvu.PrintArea" localSheetId="0" hidden="1">'Sheet1'!$A$1:$T$345</definedName>
  </definedNames>
  <calcPr fullCalcOnLoad="1"/>
</workbook>
</file>

<file path=xl/comments1.xml><?xml version="1.0" encoding="utf-8"?>
<comments xmlns="http://schemas.openxmlformats.org/spreadsheetml/2006/main">
  <authors>
    <author>Richard Levich</author>
    <author>rlevich</author>
  </authors>
  <commentList>
    <comment ref="U15" authorId="0">
      <text>
        <r>
          <rPr>
            <sz val="8"/>
            <rFont val="Tahoma"/>
            <family val="2"/>
          </rPr>
          <t>Richard Levich: First 6-months returns</t>
        </r>
        <r>
          <rPr>
            <sz val="8"/>
            <rFont val="Tahoma"/>
            <family val="2"/>
          </rPr>
          <t xml:space="preserve">
</t>
        </r>
      </text>
    </comment>
    <comment ref="B176" authorId="1">
      <text>
        <r>
          <rPr>
            <b/>
            <sz val="8"/>
            <rFont val="Tahoma"/>
            <family val="2"/>
          </rPr>
          <t>All funds received a refund for management fee paid in advance.</t>
        </r>
        <r>
          <rPr>
            <sz val="8"/>
            <rFont val="Tahoma"/>
            <family val="2"/>
          </rPr>
          <t xml:space="preserve">
</t>
        </r>
      </text>
    </comment>
    <comment ref="B179" authorId="1">
      <text>
        <r>
          <rPr>
            <b/>
            <sz val="8"/>
            <rFont val="Tahoma"/>
            <family val="2"/>
          </rPr>
          <t>Adjustment for assets and dividends in Growth that will be transferred to Fixed Income.</t>
        </r>
      </text>
    </comment>
    <comment ref="G176" authorId="1">
      <text>
        <r>
          <rPr>
            <b/>
            <sz val="8"/>
            <rFont val="Tahoma"/>
            <family val="2"/>
          </rPr>
          <t xml:space="preserve">= $1,568,793.03 (agrees with ML statement) + $1,561.92 (returned wrap fee);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<sst xmlns="http://schemas.openxmlformats.org/spreadsheetml/2006/main" count="998" uniqueCount="405">
  <si>
    <t>Income</t>
  </si>
  <si>
    <t>Small Cap</t>
  </si>
  <si>
    <t>Value</t>
  </si>
  <si>
    <t>MPSIF  FUND PERFORMANCE</t>
  </si>
  <si>
    <t xml:space="preserve"> End of Month</t>
  </si>
  <si>
    <t xml:space="preserve"> Market Value</t>
  </si>
  <si>
    <t xml:space="preserve">Total   </t>
  </si>
  <si>
    <t>as shown on screen-(and print as shown on screen if chart)-bitmap"  selection.</t>
  </si>
  <si>
    <t>To save table area as bitmap image, select cells containing table.  Do a "shift-edit-</t>
  </si>
  <si>
    <t>For chart select chart and do the same.  The bitmap image will be ready to paste</t>
  </si>
  <si>
    <t xml:space="preserve">in microsoft photo editor (or something better) and saved as a gif or jpg file.  </t>
  </si>
  <si>
    <t xml:space="preserve">   03/00</t>
  </si>
  <si>
    <t xml:space="preserve">   04/00</t>
  </si>
  <si>
    <t xml:space="preserve">   05/00</t>
  </si>
  <si>
    <t xml:space="preserve">   06/00</t>
  </si>
  <si>
    <t xml:space="preserve">   07/00</t>
  </si>
  <si>
    <t xml:space="preserve">   08/00</t>
  </si>
  <si>
    <t xml:space="preserve">   09/00</t>
  </si>
  <si>
    <t xml:space="preserve">   10/00</t>
  </si>
  <si>
    <t xml:space="preserve">   11/00</t>
  </si>
  <si>
    <t xml:space="preserve">   12/00</t>
  </si>
  <si>
    <t xml:space="preserve">   01/2001</t>
  </si>
  <si>
    <t xml:space="preserve">   02/01</t>
  </si>
  <si>
    <t xml:space="preserve">   03/01</t>
  </si>
  <si>
    <t xml:space="preserve">   04/01</t>
  </si>
  <si>
    <t xml:space="preserve">   05/01 - withdraw</t>
  </si>
  <si>
    <t xml:space="preserve">   05/01 - after</t>
  </si>
  <si>
    <t xml:space="preserve">   05/01</t>
  </si>
  <si>
    <t xml:space="preserve">   06/01</t>
  </si>
  <si>
    <t xml:space="preserve">   07/01</t>
  </si>
  <si>
    <t xml:space="preserve">   08/01</t>
  </si>
  <si>
    <t xml:space="preserve">   09/01</t>
  </si>
  <si>
    <t xml:space="preserve">   10/01</t>
  </si>
  <si>
    <t xml:space="preserve">   11/01</t>
  </si>
  <si>
    <t xml:space="preserve">   12/01</t>
  </si>
  <si>
    <t xml:space="preserve">   01/2002</t>
  </si>
  <si>
    <t xml:space="preserve">   02/02</t>
  </si>
  <si>
    <t xml:space="preserve">   04/02</t>
  </si>
  <si>
    <t xml:space="preserve">   03/02</t>
  </si>
  <si>
    <t xml:space="preserve">   05/02 - withdraw</t>
  </si>
  <si>
    <t xml:space="preserve">   05/02 - FI transfer</t>
  </si>
  <si>
    <t xml:space="preserve">   05/02 - after</t>
  </si>
  <si>
    <t xml:space="preserve">   05/02</t>
  </si>
  <si>
    <t xml:space="preserve">   03/01/2000</t>
  </si>
  <si>
    <t>one month</t>
  </si>
  <si>
    <t>cumulative</t>
  </si>
  <si>
    <t xml:space="preserve">             Growth</t>
  </si>
  <si>
    <t xml:space="preserve">          Small Cap</t>
  </si>
  <si>
    <t xml:space="preserve">               Value</t>
  </si>
  <si>
    <t xml:space="preserve">      Fixed Income</t>
  </si>
  <si>
    <t xml:space="preserve">               Total</t>
  </si>
  <si>
    <t xml:space="preserve">   06/02</t>
  </si>
  <si>
    <t xml:space="preserve">   07/02</t>
  </si>
  <si>
    <t xml:space="preserve">   08/02</t>
  </si>
  <si>
    <t>Fixed</t>
  </si>
  <si>
    <t xml:space="preserve">text cells need to be opaque background.  </t>
  </si>
  <si>
    <t>MPSIF  FUND MONTHLY RETURN PERFORMANCE</t>
  </si>
  <si>
    <t>in months where the NYU withdraws are made (or interfund transfers occur) the calculation</t>
  </si>
  <si>
    <t xml:space="preserve">is based on an adjusted (t-1) number:  [ month(t) /  ( month(t-1) - outflow ) ] </t>
  </si>
  <si>
    <t xml:space="preserve">the "cumulative" index is simply  [ return(t) x cumulativeindex(t-1) ] </t>
  </si>
  <si>
    <t xml:space="preserve">monthly "return(t)" is the ratio of  [ month(t) / month (t-1) ] </t>
  </si>
  <si>
    <t>return data:  &lt;CtrG&gt; T1</t>
  </si>
  <si>
    <t>performance data  &lt;CtrHome&gt;</t>
  </si>
  <si>
    <t xml:space="preserve">   09/02</t>
  </si>
  <si>
    <t xml:space="preserve">   10/02</t>
  </si>
  <si>
    <t xml:space="preserve">   11/02</t>
  </si>
  <si>
    <t>Growth</t>
  </si>
  <si>
    <t xml:space="preserve">   12/02</t>
  </si>
  <si>
    <t xml:space="preserve">   01/03</t>
  </si>
  <si>
    <t xml:space="preserve">   02/03</t>
  </si>
  <si>
    <t xml:space="preserve">   03/03</t>
  </si>
  <si>
    <t xml:space="preserve">   04/03</t>
  </si>
  <si>
    <t xml:space="preserve">   05/03 - withdraw</t>
  </si>
  <si>
    <t xml:space="preserve">   05/03 - after</t>
  </si>
  <si>
    <t xml:space="preserve">   05/03</t>
  </si>
  <si>
    <t xml:space="preserve">   06/03</t>
  </si>
  <si>
    <t xml:space="preserve">   07/03</t>
  </si>
  <si>
    <t xml:space="preserve">   08/03</t>
  </si>
  <si>
    <t xml:space="preserve">   09/03</t>
  </si>
  <si>
    <t xml:space="preserve">   10/03</t>
  </si>
  <si>
    <t xml:space="preserve">   11/03</t>
  </si>
  <si>
    <t xml:space="preserve">   12/03</t>
  </si>
  <si>
    <t xml:space="preserve">   01/04</t>
  </si>
  <si>
    <t xml:space="preserve">   02/04</t>
  </si>
  <si>
    <t xml:space="preserve">   03/04</t>
  </si>
  <si>
    <t xml:space="preserve">   04/04</t>
  </si>
  <si>
    <t xml:space="preserve">   05/04</t>
  </si>
  <si>
    <t xml:space="preserve">   06/04</t>
  </si>
  <si>
    <t xml:space="preserve">   07/04</t>
  </si>
  <si>
    <t xml:space="preserve">   08/04</t>
  </si>
  <si>
    <t xml:space="preserve">   06/04 - withdraw</t>
  </si>
  <si>
    <t xml:space="preserve">   06/04 - after</t>
  </si>
  <si>
    <t xml:space="preserve">   09/04</t>
  </si>
  <si>
    <t xml:space="preserve">   10/04</t>
  </si>
  <si>
    <t xml:space="preserve">   11/04</t>
  </si>
  <si>
    <t xml:space="preserve">   12/04</t>
  </si>
  <si>
    <t>Distributions</t>
  </si>
  <si>
    <t xml:space="preserve"> May 2001</t>
  </si>
  <si>
    <t xml:space="preserve"> May 2002</t>
  </si>
  <si>
    <t xml:space="preserve"> May 2003</t>
  </si>
  <si>
    <t xml:space="preserve"> June 2004</t>
  </si>
  <si>
    <t>Fund Shares as % of Total</t>
  </si>
  <si>
    <t xml:space="preserve">Growth </t>
  </si>
  <si>
    <t>Fixed Inc</t>
  </si>
  <si>
    <t xml:space="preserve">   12/04 - Transfer</t>
  </si>
  <si>
    <t xml:space="preserve">   12/04 - after</t>
  </si>
  <si>
    <t>1-Year</t>
  </si>
  <si>
    <t>3-Year</t>
  </si>
  <si>
    <t xml:space="preserve">   01/05</t>
  </si>
  <si>
    <t xml:space="preserve">   02/05</t>
  </si>
  <si>
    <t xml:space="preserve">   03/05</t>
  </si>
  <si>
    <t xml:space="preserve">   04/05</t>
  </si>
  <si>
    <t xml:space="preserve">   05/05</t>
  </si>
  <si>
    <t xml:space="preserve">   06/05</t>
  </si>
  <si>
    <t xml:space="preserve">   05/05 - withdraw</t>
  </si>
  <si>
    <t xml:space="preserve">   05/05 - after</t>
  </si>
  <si>
    <t>Academic YTD</t>
  </si>
  <si>
    <t xml:space="preserve">   07/05</t>
  </si>
  <si>
    <t xml:space="preserve">   08/05</t>
  </si>
  <si>
    <t xml:space="preserve"> May 2005</t>
  </si>
  <si>
    <t xml:space="preserve">   09/05</t>
  </si>
  <si>
    <t xml:space="preserve">   10/05</t>
  </si>
  <si>
    <t>Since Inception *</t>
  </si>
  <si>
    <t>Periodic</t>
  </si>
  <si>
    <t>12-month</t>
  </si>
  <si>
    <t>returns</t>
  </si>
  <si>
    <t xml:space="preserve">   11/05</t>
  </si>
  <si>
    <t xml:space="preserve">   12/05</t>
  </si>
  <si>
    <t xml:space="preserve">   01/06</t>
  </si>
  <si>
    <t xml:space="preserve">   02/06</t>
  </si>
  <si>
    <t xml:space="preserve">   03/06</t>
  </si>
  <si>
    <t xml:space="preserve">   04/06</t>
  </si>
  <si>
    <t xml:space="preserve">   05/06 - withdraw</t>
  </si>
  <si>
    <t xml:space="preserve">   05/06 - after</t>
  </si>
  <si>
    <t xml:space="preserve">   05/06</t>
  </si>
  <si>
    <t xml:space="preserve">   07/06</t>
  </si>
  <si>
    <t xml:space="preserve">   06/06</t>
  </si>
  <si>
    <t xml:space="preserve">   08/06</t>
  </si>
  <si>
    <t xml:space="preserve"> May 2006</t>
  </si>
  <si>
    <t xml:space="preserve">   09/06</t>
  </si>
  <si>
    <t xml:space="preserve">   10/06</t>
  </si>
  <si>
    <t xml:space="preserve">   11/06</t>
  </si>
  <si>
    <t xml:space="preserve">   12/06</t>
  </si>
  <si>
    <t xml:space="preserve">   01/07</t>
  </si>
  <si>
    <t xml:space="preserve">   02/07</t>
  </si>
  <si>
    <t xml:space="preserve">   03/07</t>
  </si>
  <si>
    <t>5% of above</t>
  </si>
  <si>
    <t xml:space="preserve">   04/07</t>
  </si>
  <si>
    <t xml:space="preserve">   05/07 - withdraw</t>
  </si>
  <si>
    <t xml:space="preserve">   05/07 - after</t>
  </si>
  <si>
    <t xml:space="preserve">   05/07</t>
  </si>
  <si>
    <t xml:space="preserve">   06/07</t>
  </si>
  <si>
    <t xml:space="preserve">   07/07</t>
  </si>
  <si>
    <t xml:space="preserve">   08/07</t>
  </si>
  <si>
    <t xml:space="preserve">   09/07</t>
  </si>
  <si>
    <t xml:space="preserve"> </t>
  </si>
  <si>
    <t xml:space="preserve">   10/07</t>
  </si>
  <si>
    <t xml:space="preserve">   11/07</t>
  </si>
  <si>
    <t xml:space="preserve">   12/07</t>
  </si>
  <si>
    <t xml:space="preserve">   01/08</t>
  </si>
  <si>
    <t xml:space="preserve">   02/08</t>
  </si>
  <si>
    <t xml:space="preserve">   03/08</t>
  </si>
  <si>
    <t xml:space="preserve">   04/08</t>
  </si>
  <si>
    <t xml:space="preserve">   05/08 - withdraw</t>
  </si>
  <si>
    <t xml:space="preserve">   05/08 - after</t>
  </si>
  <si>
    <t xml:space="preserve">   05/08</t>
  </si>
  <si>
    <t xml:space="preserve">   06/08</t>
  </si>
  <si>
    <t xml:space="preserve">   07/08</t>
  </si>
  <si>
    <t xml:space="preserve">   08/08</t>
  </si>
  <si>
    <t xml:space="preserve">   09/08</t>
  </si>
  <si>
    <t>Periodic 12-month returns</t>
  </si>
  <si>
    <t>Ending</t>
  </si>
  <si>
    <t>6-month return</t>
  </si>
  <si>
    <t xml:space="preserve">   10/08</t>
  </si>
  <si>
    <t xml:space="preserve">   11/08</t>
  </si>
  <si>
    <t xml:space="preserve">   12/08</t>
  </si>
  <si>
    <t xml:space="preserve">   01/09</t>
  </si>
  <si>
    <t xml:space="preserve">   02/09</t>
  </si>
  <si>
    <t xml:space="preserve">   03/09</t>
  </si>
  <si>
    <t xml:space="preserve">   04/09</t>
  </si>
  <si>
    <t xml:space="preserve">   05/09 - withdraw</t>
  </si>
  <si>
    <t xml:space="preserve">   05/09 - after</t>
  </si>
  <si>
    <t xml:space="preserve">   05/09</t>
  </si>
  <si>
    <t xml:space="preserve">   06/09</t>
  </si>
  <si>
    <t xml:space="preserve">   07/09</t>
  </si>
  <si>
    <t xml:space="preserve">   08/09</t>
  </si>
  <si>
    <t xml:space="preserve">   09/09</t>
  </si>
  <si>
    <t xml:space="preserve">   10/09</t>
  </si>
  <si>
    <t xml:space="preserve">   11/09</t>
  </si>
  <si>
    <t xml:space="preserve">   12/09</t>
  </si>
  <si>
    <t xml:space="preserve">   01/10</t>
  </si>
  <si>
    <t xml:space="preserve">   02/10</t>
  </si>
  <si>
    <t xml:space="preserve">   03/10</t>
  </si>
  <si>
    <t xml:space="preserve">   04/10</t>
  </si>
  <si>
    <t xml:space="preserve">   05/10 - withdraw</t>
  </si>
  <si>
    <t xml:space="preserve">   05/10 - after</t>
  </si>
  <si>
    <t xml:space="preserve">   05/10</t>
  </si>
  <si>
    <t xml:space="preserve">   06/10</t>
  </si>
  <si>
    <t xml:space="preserve">   07/10</t>
  </si>
  <si>
    <t xml:space="preserve">   08/10</t>
  </si>
  <si>
    <t xml:space="preserve">   05/10 - transfer</t>
  </si>
  <si>
    <t>Transfer completed on May 21. Calculation assumes transfer at end-of-month, last trading day is 5 days later on May 28.</t>
  </si>
  <si>
    <t>Weights below in line with 26% / 28% / 26% / 20% target allocation.</t>
  </si>
  <si>
    <t xml:space="preserve">   09/10</t>
  </si>
  <si>
    <t xml:space="preserve">   10/10</t>
  </si>
  <si>
    <t xml:space="preserve">   11/10</t>
  </si>
  <si>
    <t xml:space="preserve">   12/10</t>
  </si>
  <si>
    <t xml:space="preserve">   01/11</t>
  </si>
  <si>
    <t xml:space="preserve">   02/11</t>
  </si>
  <si>
    <t xml:space="preserve">   03/11</t>
  </si>
  <si>
    <t xml:space="preserve">   04/11</t>
  </si>
  <si>
    <t xml:space="preserve">   05/11 - withdraw</t>
  </si>
  <si>
    <t xml:space="preserve">   05/11 - after</t>
  </si>
  <si>
    <t xml:space="preserve">   05/11</t>
  </si>
  <si>
    <t xml:space="preserve">   06/11</t>
  </si>
  <si>
    <t xml:space="preserve">   07/11</t>
  </si>
  <si>
    <t xml:space="preserve">   08/11</t>
  </si>
  <si>
    <t xml:space="preserve">   09/11</t>
  </si>
  <si>
    <t xml:space="preserve">   10/11</t>
  </si>
  <si>
    <t xml:space="preserve">   11/11</t>
  </si>
  <si>
    <t xml:space="preserve">   12/11</t>
  </si>
  <si>
    <t>Date</t>
  </si>
  <si>
    <t>Total</t>
  </si>
  <si>
    <t>Cumulative Values</t>
  </si>
  <si>
    <t xml:space="preserve">   01/2003</t>
  </si>
  <si>
    <t xml:space="preserve">   01/2004</t>
  </si>
  <si>
    <t xml:space="preserve">   01/2005</t>
  </si>
  <si>
    <t xml:space="preserve">   01/2006</t>
  </si>
  <si>
    <t xml:space="preserve">   01/2007</t>
  </si>
  <si>
    <t xml:space="preserve">   01/2008</t>
  </si>
  <si>
    <t xml:space="preserve">   01/2009</t>
  </si>
  <si>
    <t xml:space="preserve">   01/2010</t>
  </si>
  <si>
    <t xml:space="preserve">   01/2011</t>
  </si>
  <si>
    <t xml:space="preserve">   11/11 - after</t>
  </si>
  <si>
    <t xml:space="preserve">   01/12</t>
  </si>
  <si>
    <t xml:space="preserve">   11/11 - inflow</t>
  </si>
  <si>
    <t>Deposit completed on Nov 17. Calculation assumes transfer at beginning-of-month.</t>
  </si>
  <si>
    <t xml:space="preserve">   02/12</t>
  </si>
  <si>
    <t xml:space="preserve">   03/12</t>
  </si>
  <si>
    <t xml:space="preserve">   04/12</t>
  </si>
  <si>
    <t xml:space="preserve">   05/12</t>
  </si>
  <si>
    <t xml:space="preserve">   06/12</t>
  </si>
  <si>
    <t xml:space="preserve">   01/2012</t>
  </si>
  <si>
    <t xml:space="preserve">   05/12 - withdraw</t>
  </si>
  <si>
    <t xml:space="preserve">   05/12 - after</t>
  </si>
  <si>
    <t xml:space="preserve">   07/12</t>
  </si>
  <si>
    <t xml:space="preserve">   08/12</t>
  </si>
  <si>
    <t xml:space="preserve">   09/12</t>
  </si>
  <si>
    <t xml:space="preserve">   10/12</t>
  </si>
  <si>
    <t xml:space="preserve">   11/12</t>
  </si>
  <si>
    <t xml:space="preserve">   12/12</t>
  </si>
  <si>
    <t xml:space="preserve">   01/13</t>
  </si>
  <si>
    <t xml:space="preserve">   02/13</t>
  </si>
  <si>
    <t xml:space="preserve">   02/13 - inflow</t>
  </si>
  <si>
    <t xml:space="preserve">   02/13 - after</t>
  </si>
  <si>
    <t>Deposit completed on Feb 22. Calculation assumes transfer 3/4 through the month.</t>
  </si>
  <si>
    <t xml:space="preserve">   03/13</t>
  </si>
  <si>
    <t xml:space="preserve">   04/13</t>
  </si>
  <si>
    <t xml:space="preserve">   05/13 - withdraw</t>
  </si>
  <si>
    <t xml:space="preserve">   05/13 - after</t>
  </si>
  <si>
    <t xml:space="preserve">   05/13</t>
  </si>
  <si>
    <t xml:space="preserve">   06/13</t>
  </si>
  <si>
    <t xml:space="preserve">   07/13</t>
  </si>
  <si>
    <t xml:space="preserve">   08/13</t>
  </si>
  <si>
    <t xml:space="preserve">   09/13</t>
  </si>
  <si>
    <t xml:space="preserve">   10/13</t>
  </si>
  <si>
    <t xml:space="preserve">   11/13</t>
  </si>
  <si>
    <t xml:space="preserve">   12/13</t>
  </si>
  <si>
    <t xml:space="preserve">   01/2014</t>
  </si>
  <si>
    <t xml:space="preserve">   01/14</t>
  </si>
  <si>
    <t xml:space="preserve">   02/14</t>
  </si>
  <si>
    <t xml:space="preserve">   03/14</t>
  </si>
  <si>
    <t xml:space="preserve">   04/14</t>
  </si>
  <si>
    <t xml:space="preserve">   05/14 - withdraw</t>
  </si>
  <si>
    <t xml:space="preserve">   05/14 - after</t>
  </si>
  <si>
    <t xml:space="preserve">   05/14</t>
  </si>
  <si>
    <t xml:space="preserve">   06/14 - transfer</t>
  </si>
  <si>
    <t xml:space="preserve">   06/14 - after</t>
  </si>
  <si>
    <t xml:space="preserve">Transfer completed on Monday, June 2, 2014. </t>
  </si>
  <si>
    <t>Weights below in line with 26.67% / * / * / 20% target allocation.</t>
  </si>
  <si>
    <t xml:space="preserve">   07/14</t>
  </si>
  <si>
    <t xml:space="preserve">   08/14</t>
  </si>
  <si>
    <t xml:space="preserve">   06/14</t>
  </si>
  <si>
    <t xml:space="preserve">   09/14</t>
  </si>
  <si>
    <t xml:space="preserve">   10/14</t>
  </si>
  <si>
    <t xml:space="preserve">   11/14</t>
  </si>
  <si>
    <t xml:space="preserve">   12/14</t>
  </si>
  <si>
    <t xml:space="preserve">   01/15</t>
  </si>
  <si>
    <t xml:space="preserve">   02/15</t>
  </si>
  <si>
    <t xml:space="preserve">   03/15</t>
  </si>
  <si>
    <t xml:space="preserve">   04/15</t>
  </si>
  <si>
    <t xml:space="preserve">   06/15</t>
  </si>
  <si>
    <t xml:space="preserve">   07/15</t>
  </si>
  <si>
    <t xml:space="preserve">   08/15</t>
  </si>
  <si>
    <t xml:space="preserve">   05/15 - withdrawal</t>
  </si>
  <si>
    <t xml:space="preserve">   05/15 - after</t>
  </si>
  <si>
    <t xml:space="preserve">   05/15 - </t>
  </si>
  <si>
    <t xml:space="preserve">   09/15</t>
  </si>
  <si>
    <t xml:space="preserve">   10/15</t>
  </si>
  <si>
    <t xml:space="preserve">   11/15</t>
  </si>
  <si>
    <t xml:space="preserve">   12/15</t>
  </si>
  <si>
    <t xml:space="preserve">   01/16</t>
  </si>
  <si>
    <t xml:space="preserve">   02/16</t>
  </si>
  <si>
    <t xml:space="preserve">   03/16</t>
  </si>
  <si>
    <t xml:space="preserve">   04/16</t>
  </si>
  <si>
    <t xml:space="preserve">   05/16</t>
  </si>
  <si>
    <t xml:space="preserve">   06/16</t>
  </si>
  <si>
    <t xml:space="preserve">   07/16</t>
  </si>
  <si>
    <t xml:space="preserve">   08/16</t>
  </si>
  <si>
    <t xml:space="preserve">   05/16 - withdrawal</t>
  </si>
  <si>
    <t xml:space="preserve">   05/16 - after</t>
  </si>
  <si>
    <t xml:space="preserve">   09/16</t>
  </si>
  <si>
    <t xml:space="preserve">   10/16</t>
  </si>
  <si>
    <t xml:space="preserve">   11/16</t>
  </si>
  <si>
    <t xml:space="preserve">   12/16</t>
  </si>
  <si>
    <t xml:space="preserve">   01/17</t>
  </si>
  <si>
    <t xml:space="preserve">   02/17</t>
  </si>
  <si>
    <t xml:space="preserve">   03/17</t>
  </si>
  <si>
    <t xml:space="preserve">   04/17</t>
  </si>
  <si>
    <t xml:space="preserve">   05/17 - withdrawal</t>
  </si>
  <si>
    <t xml:space="preserve">   05/17 - after</t>
  </si>
  <si>
    <t xml:space="preserve">   05/17</t>
  </si>
  <si>
    <t xml:space="preserve">   06/17</t>
  </si>
  <si>
    <t xml:space="preserve">   07/17</t>
  </si>
  <si>
    <t xml:space="preserve">   08/17</t>
  </si>
  <si>
    <t xml:space="preserve">   09/17</t>
  </si>
  <si>
    <t xml:space="preserve">   10/17</t>
  </si>
  <si>
    <t xml:space="preserve">   11/17</t>
  </si>
  <si>
    <t xml:space="preserve">   12/17</t>
  </si>
  <si>
    <t xml:space="preserve">   01/18</t>
  </si>
  <si>
    <t xml:space="preserve">   02/18</t>
  </si>
  <si>
    <t xml:space="preserve">   03/18</t>
  </si>
  <si>
    <t xml:space="preserve">   04/18</t>
  </si>
  <si>
    <t xml:space="preserve">   05/18</t>
  </si>
  <si>
    <t xml:space="preserve">   06/18</t>
  </si>
  <si>
    <t xml:space="preserve">   07/18</t>
  </si>
  <si>
    <t xml:space="preserve">   08/18</t>
  </si>
  <si>
    <t>04/11/18 - transfer</t>
  </si>
  <si>
    <t>04/11/18 - after</t>
  </si>
  <si>
    <t>NA</t>
  </si>
  <si>
    <t xml:space="preserve">   09/18</t>
  </si>
  <si>
    <t xml:space="preserve">   10/18</t>
  </si>
  <si>
    <t xml:space="preserve">   11/18</t>
  </si>
  <si>
    <t xml:space="preserve">   12/18</t>
  </si>
  <si>
    <t>Small Cap/ESG</t>
  </si>
  <si>
    <t xml:space="preserve">   01/19</t>
  </si>
  <si>
    <t xml:space="preserve">   03/19</t>
  </si>
  <si>
    <t xml:space="preserve">          Small Cap/ESG</t>
  </si>
  <si>
    <t>Fi and ESG shorter</t>
  </si>
  <si>
    <t>6-Month</t>
  </si>
  <si>
    <t xml:space="preserve">  </t>
  </si>
  <si>
    <t xml:space="preserve">   09/18-afterdiv</t>
  </si>
  <si>
    <t xml:space="preserve">   02/19</t>
  </si>
  <si>
    <t xml:space="preserve">   02/19 - afterESG</t>
  </si>
  <si>
    <t xml:space="preserve">   04/19</t>
  </si>
  <si>
    <t xml:space="preserve">   05/19</t>
  </si>
  <si>
    <t xml:space="preserve">   04/19-after</t>
  </si>
  <si>
    <t xml:space="preserve">   04/19-Div</t>
  </si>
  <si>
    <t xml:space="preserve">   06/19</t>
  </si>
  <si>
    <t xml:space="preserve">   07/19</t>
  </si>
  <si>
    <t xml:space="preserve">   08/19</t>
  </si>
  <si>
    <t>ESG #s</t>
  </si>
  <si>
    <t xml:space="preserve">   09/19</t>
  </si>
  <si>
    <t xml:space="preserve">   10/19</t>
  </si>
  <si>
    <t xml:space="preserve">   11/19</t>
  </si>
  <si>
    <t xml:space="preserve">   12/19</t>
  </si>
  <si>
    <t xml:space="preserve">   01/20</t>
  </si>
  <si>
    <t xml:space="preserve">   02/20</t>
  </si>
  <si>
    <t xml:space="preserve">   03/20</t>
  </si>
  <si>
    <t xml:space="preserve">   04/20</t>
  </si>
  <si>
    <t xml:space="preserve">   05/20</t>
  </si>
  <si>
    <t xml:space="preserve">   04/20 - Div</t>
  </si>
  <si>
    <t xml:space="preserve">   04/20 - After</t>
  </si>
  <si>
    <t xml:space="preserve">   06/20</t>
  </si>
  <si>
    <t xml:space="preserve">   07/20</t>
  </si>
  <si>
    <t xml:space="preserve">   08/20</t>
  </si>
  <si>
    <t xml:space="preserve">   09/20</t>
  </si>
  <si>
    <t xml:space="preserve">   10/20</t>
  </si>
  <si>
    <t xml:space="preserve">   11/20</t>
  </si>
  <si>
    <t xml:space="preserve">   12/20</t>
  </si>
  <si>
    <t xml:space="preserve">   01/21</t>
  </si>
  <si>
    <t xml:space="preserve">   02/21</t>
  </si>
  <si>
    <t xml:space="preserve">   03/21</t>
  </si>
  <si>
    <t xml:space="preserve">   04/21</t>
  </si>
  <si>
    <t xml:space="preserve">   06/21</t>
  </si>
  <si>
    <t xml:space="preserve">   07/21</t>
  </si>
  <si>
    <t xml:space="preserve">   08/21</t>
  </si>
  <si>
    <t xml:space="preserve">   09/21</t>
  </si>
  <si>
    <t xml:space="preserve">   04/21-aft trnsfr</t>
  </si>
  <si>
    <t xml:space="preserve">   05/21</t>
  </si>
  <si>
    <t xml:space="preserve">   10/21</t>
  </si>
  <si>
    <t xml:space="preserve">   11/21</t>
  </si>
  <si>
    <t xml:space="preserve">   12/21</t>
  </si>
  <si>
    <t xml:space="preserve">   01/22</t>
  </si>
  <si>
    <t xml:space="preserve">   02/22</t>
  </si>
  <si>
    <t xml:space="preserve">   03/22</t>
  </si>
  <si>
    <t xml:space="preserve">   04/22</t>
  </si>
  <si>
    <t xml:space="preserve">   04/22 - Div</t>
  </si>
  <si>
    <t xml:space="preserve">   04/22- After</t>
  </si>
  <si>
    <t xml:space="preserve">   05/22</t>
  </si>
  <si>
    <t xml:space="preserve">   06/22</t>
  </si>
  <si>
    <t xml:space="preserve">   07/22</t>
  </si>
  <si>
    <t xml:space="preserve">   08/22</t>
  </si>
  <si>
    <t xml:space="preserve">   09/22</t>
  </si>
  <si>
    <t xml:space="preserve">   10/22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</si>
</sst>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.00000"/>
    <numFmt numFmtId="174" formatCode="0.0000"/>
    <numFmt numFmtId="175" formatCode="0.0%"/>
    <numFmt numFmtId="176" formatCode="[$-409]dddd\,\ mmmm\ dd\,\ yyyy"/>
    <numFmt numFmtId="177" formatCode="[$-409]mmmm\-yy;@"/>
    <numFmt numFmtId="178" formatCode="#,##0.0000"/>
    <numFmt numFmtId="179" formatCode="[$-409]h:mm:ss\ AM/PM"/>
    <numFmt numFmtId="180" formatCode="0.0000%"/>
    <numFmt numFmtId="181" formatCode="m/d/yyyy"/>
    <numFmt numFmtId="182" formatCode="_(* #,##0.0_);_(* \(#,##0.0\);_(* &quot;-&quot;??_);_(@_)"/>
    <numFmt numFmtId="183" formatCode="_(* #,##0_);_(* \(#,##0\);_(* &quot;-&quot;??_);_(@_)"/>
    <numFmt numFmtId="184" formatCode="#,##0.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.25"/>
      <color indexed="8"/>
      <name val="Arial"/>
      <family val="2"/>
    </font>
    <font>
      <sz val="5.95"/>
      <color indexed="8"/>
      <name val="Arial"/>
      <family val="2"/>
    </font>
    <font>
      <sz val="11.5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8.25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17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 horizontal="left"/>
    </xf>
    <xf numFmtId="16" fontId="0" fillId="33" borderId="13" xfId="0" applyNumberFormat="1" applyFill="1" applyBorder="1" applyAlignment="1">
      <alignment/>
    </xf>
    <xf numFmtId="16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25" xfId="0" applyFill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34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2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3" fontId="0" fillId="35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6" borderId="0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15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10" fontId="0" fillId="0" borderId="19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4" xfId="0" applyNumberFormat="1" applyBorder="1" applyAlignment="1">
      <alignment/>
    </xf>
    <xf numFmtId="3" fontId="0" fillId="34" borderId="0" xfId="0" applyNumberForma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4" fontId="13" fillId="37" borderId="26" xfId="0" applyNumberFormat="1" applyFont="1" applyFill="1" applyBorder="1" applyAlignment="1">
      <alignment/>
    </xf>
    <xf numFmtId="173" fontId="13" fillId="37" borderId="26" xfId="0" applyNumberFormat="1" applyFont="1" applyFill="1" applyBorder="1" applyAlignment="1">
      <alignment/>
    </xf>
    <xf numFmtId="174" fontId="13" fillId="37" borderId="27" xfId="0" applyNumberFormat="1" applyFont="1" applyFill="1" applyBorder="1" applyAlignment="1">
      <alignment/>
    </xf>
    <xf numFmtId="173" fontId="11" fillId="37" borderId="28" xfId="0" applyNumberFormat="1" applyFont="1" applyFill="1" applyBorder="1" applyAlignment="1">
      <alignment/>
    </xf>
    <xf numFmtId="175" fontId="0" fillId="37" borderId="26" xfId="0" applyNumberFormat="1" applyFill="1" applyBorder="1" applyAlignment="1">
      <alignment/>
    </xf>
    <xf numFmtId="175" fontId="0" fillId="37" borderId="27" xfId="0" applyNumberFormat="1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8" borderId="0" xfId="0" applyNumberForma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3" borderId="2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5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17" fontId="0" fillId="0" borderId="13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3" fontId="0" fillId="35" borderId="25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10" fontId="0" fillId="0" borderId="0" xfId="59" applyNumberFormat="1" applyFont="1" applyAlignment="1">
      <alignment/>
    </xf>
    <xf numFmtId="3" fontId="0" fillId="35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39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0" fontId="0" fillId="0" borderId="21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0" fontId="0" fillId="0" borderId="0" xfId="59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MPSIF - Total Assets Under Management ($000)</a:t>
            </a:r>
          </a:p>
        </c:rich>
      </c:tx>
      <c:layout>
        <c:manualLayout>
          <c:xMode val="factor"/>
          <c:yMode val="factor"/>
          <c:x val="-0.0292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875"/>
          <c:w val="0.993"/>
          <c:h val="0.7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'Data for Graph 1'!$A$6:$A$279</c:f>
              <c:strCache>
                <c:ptCount val="274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  <c:pt idx="5">
                  <c:v>   07/00</c:v>
                </c:pt>
                <c:pt idx="6">
                  <c:v>   08/00</c:v>
                </c:pt>
                <c:pt idx="7">
                  <c:v>   09/00</c:v>
                </c:pt>
                <c:pt idx="8">
                  <c:v>   10/00</c:v>
                </c:pt>
                <c:pt idx="9">
                  <c:v>   11/00</c:v>
                </c:pt>
                <c:pt idx="10">
                  <c:v>   12/00</c:v>
                </c:pt>
                <c:pt idx="11">
                  <c:v>   01/2001</c:v>
                </c:pt>
                <c:pt idx="12">
                  <c:v>   02/01</c:v>
                </c:pt>
                <c:pt idx="13">
                  <c:v>   03/01</c:v>
                </c:pt>
                <c:pt idx="14">
                  <c:v>   04/01</c:v>
                </c:pt>
                <c:pt idx="15">
                  <c:v>   05/01</c:v>
                </c:pt>
                <c:pt idx="16">
                  <c:v>   06/01</c:v>
                </c:pt>
                <c:pt idx="17">
                  <c:v>   07/01</c:v>
                </c:pt>
                <c:pt idx="18">
                  <c:v>   08/01</c:v>
                </c:pt>
                <c:pt idx="19">
                  <c:v>   09/01</c:v>
                </c:pt>
                <c:pt idx="20">
                  <c:v>   10/01</c:v>
                </c:pt>
                <c:pt idx="21">
                  <c:v>   11/01</c:v>
                </c:pt>
                <c:pt idx="22">
                  <c:v>   12/01</c:v>
                </c:pt>
                <c:pt idx="23">
                  <c:v>   01/2002</c:v>
                </c:pt>
                <c:pt idx="24">
                  <c:v>   02/02</c:v>
                </c:pt>
                <c:pt idx="25">
                  <c:v>   03/02</c:v>
                </c:pt>
                <c:pt idx="26">
                  <c:v>   04/02</c:v>
                </c:pt>
                <c:pt idx="27">
                  <c:v>   05/02</c:v>
                </c:pt>
                <c:pt idx="28">
                  <c:v>   06/02</c:v>
                </c:pt>
                <c:pt idx="29">
                  <c:v>   07/02</c:v>
                </c:pt>
                <c:pt idx="30">
                  <c:v>   08/02</c:v>
                </c:pt>
                <c:pt idx="31">
                  <c:v>   09/02</c:v>
                </c:pt>
                <c:pt idx="32">
                  <c:v>   10/02</c:v>
                </c:pt>
                <c:pt idx="33">
                  <c:v>   11/02</c:v>
                </c:pt>
                <c:pt idx="34">
                  <c:v>   12/02</c:v>
                </c:pt>
                <c:pt idx="35">
                  <c:v>   01/03</c:v>
                </c:pt>
                <c:pt idx="36">
                  <c:v>   02/03</c:v>
                </c:pt>
                <c:pt idx="37">
                  <c:v>   03/03</c:v>
                </c:pt>
                <c:pt idx="38">
                  <c:v>   04/03</c:v>
                </c:pt>
                <c:pt idx="39">
                  <c:v>   05/03</c:v>
                </c:pt>
                <c:pt idx="40">
                  <c:v>   06/03</c:v>
                </c:pt>
                <c:pt idx="41">
                  <c:v>   07/03</c:v>
                </c:pt>
                <c:pt idx="42">
                  <c:v>   08/03</c:v>
                </c:pt>
                <c:pt idx="43">
                  <c:v>   09/03</c:v>
                </c:pt>
                <c:pt idx="44">
                  <c:v>   10/03</c:v>
                </c:pt>
                <c:pt idx="45">
                  <c:v>   11/03</c:v>
                </c:pt>
                <c:pt idx="46">
                  <c:v>   12/03</c:v>
                </c:pt>
                <c:pt idx="47">
                  <c:v>   01/04</c:v>
                </c:pt>
                <c:pt idx="48">
                  <c:v>   02/04</c:v>
                </c:pt>
                <c:pt idx="49">
                  <c:v>   03/04</c:v>
                </c:pt>
                <c:pt idx="50">
                  <c:v>   04/04</c:v>
                </c:pt>
                <c:pt idx="51">
                  <c:v>   05/04</c:v>
                </c:pt>
                <c:pt idx="52">
                  <c:v>   06/04</c:v>
                </c:pt>
                <c:pt idx="53">
                  <c:v>   07/04</c:v>
                </c:pt>
                <c:pt idx="54">
                  <c:v>   08/04</c:v>
                </c:pt>
                <c:pt idx="55">
                  <c:v>   09/04</c:v>
                </c:pt>
                <c:pt idx="56">
                  <c:v>   10/04</c:v>
                </c:pt>
                <c:pt idx="57">
                  <c:v>   11/04</c:v>
                </c:pt>
                <c:pt idx="58">
                  <c:v>   12/04</c:v>
                </c:pt>
                <c:pt idx="59">
                  <c:v>   01/05</c:v>
                </c:pt>
                <c:pt idx="60">
                  <c:v>   02/05</c:v>
                </c:pt>
                <c:pt idx="61">
                  <c:v>   03/05</c:v>
                </c:pt>
                <c:pt idx="62">
                  <c:v>   04/05</c:v>
                </c:pt>
                <c:pt idx="63">
                  <c:v>   05/05</c:v>
                </c:pt>
                <c:pt idx="64">
                  <c:v>   06/05</c:v>
                </c:pt>
                <c:pt idx="65">
                  <c:v>   07/05</c:v>
                </c:pt>
                <c:pt idx="66">
                  <c:v>   08/05</c:v>
                </c:pt>
                <c:pt idx="67">
                  <c:v>   09/05</c:v>
                </c:pt>
                <c:pt idx="68">
                  <c:v>   10/05</c:v>
                </c:pt>
                <c:pt idx="69">
                  <c:v>   11/05</c:v>
                </c:pt>
                <c:pt idx="70">
                  <c:v>   12/05</c:v>
                </c:pt>
                <c:pt idx="71">
                  <c:v>   01/06</c:v>
                </c:pt>
                <c:pt idx="72">
                  <c:v>   02/06</c:v>
                </c:pt>
                <c:pt idx="73">
                  <c:v>   03/06</c:v>
                </c:pt>
                <c:pt idx="74">
                  <c:v>   04/06</c:v>
                </c:pt>
                <c:pt idx="75">
                  <c:v>   05/06</c:v>
                </c:pt>
                <c:pt idx="76">
                  <c:v>   06/06</c:v>
                </c:pt>
                <c:pt idx="77">
                  <c:v>   07/06</c:v>
                </c:pt>
                <c:pt idx="78">
                  <c:v>   08/06</c:v>
                </c:pt>
                <c:pt idx="79">
                  <c:v>   09/06</c:v>
                </c:pt>
                <c:pt idx="80">
                  <c:v>   10/06</c:v>
                </c:pt>
                <c:pt idx="81">
                  <c:v>   11/06</c:v>
                </c:pt>
                <c:pt idx="82">
                  <c:v>   12/06</c:v>
                </c:pt>
                <c:pt idx="83">
                  <c:v>   01/07</c:v>
                </c:pt>
                <c:pt idx="84">
                  <c:v>   02/07</c:v>
                </c:pt>
                <c:pt idx="85">
                  <c:v>   03/07</c:v>
                </c:pt>
                <c:pt idx="86">
                  <c:v>   04/07</c:v>
                </c:pt>
                <c:pt idx="87">
                  <c:v>   05/07</c:v>
                </c:pt>
                <c:pt idx="88">
                  <c:v>   06/07</c:v>
                </c:pt>
                <c:pt idx="89">
                  <c:v>   07/07</c:v>
                </c:pt>
                <c:pt idx="90">
                  <c:v>   08/07</c:v>
                </c:pt>
                <c:pt idx="91">
                  <c:v>   09/07</c:v>
                </c:pt>
                <c:pt idx="92">
                  <c:v>   10/07</c:v>
                </c:pt>
                <c:pt idx="93">
                  <c:v>   11/07</c:v>
                </c:pt>
                <c:pt idx="94">
                  <c:v>   12/07</c:v>
                </c:pt>
                <c:pt idx="95">
                  <c:v>   01/08</c:v>
                </c:pt>
                <c:pt idx="96">
                  <c:v>   02/08</c:v>
                </c:pt>
                <c:pt idx="97">
                  <c:v>   03/08</c:v>
                </c:pt>
                <c:pt idx="98">
                  <c:v>   04/08</c:v>
                </c:pt>
                <c:pt idx="99">
                  <c:v>   05/08</c:v>
                </c:pt>
                <c:pt idx="100">
                  <c:v>   06/08</c:v>
                </c:pt>
                <c:pt idx="101">
                  <c:v>   07/08</c:v>
                </c:pt>
                <c:pt idx="102">
                  <c:v>   08/08</c:v>
                </c:pt>
                <c:pt idx="103">
                  <c:v>   09/08</c:v>
                </c:pt>
                <c:pt idx="104">
                  <c:v>   10/08</c:v>
                </c:pt>
                <c:pt idx="105">
                  <c:v>   11/08</c:v>
                </c:pt>
                <c:pt idx="106">
                  <c:v>   12/08</c:v>
                </c:pt>
                <c:pt idx="107">
                  <c:v>   01/09</c:v>
                </c:pt>
                <c:pt idx="108">
                  <c:v>   02/09</c:v>
                </c:pt>
                <c:pt idx="109">
                  <c:v>   03/09</c:v>
                </c:pt>
                <c:pt idx="110">
                  <c:v>   04/09</c:v>
                </c:pt>
                <c:pt idx="111">
                  <c:v>   05/09</c:v>
                </c:pt>
                <c:pt idx="112">
                  <c:v>   06/09</c:v>
                </c:pt>
                <c:pt idx="113">
                  <c:v>   07/09</c:v>
                </c:pt>
                <c:pt idx="114">
                  <c:v>   08/09</c:v>
                </c:pt>
                <c:pt idx="115">
                  <c:v>   09/09</c:v>
                </c:pt>
                <c:pt idx="116">
                  <c:v>   10/09</c:v>
                </c:pt>
                <c:pt idx="117">
                  <c:v>   11/09</c:v>
                </c:pt>
                <c:pt idx="118">
                  <c:v>   12/09</c:v>
                </c:pt>
                <c:pt idx="119">
                  <c:v>   01/10</c:v>
                </c:pt>
                <c:pt idx="120">
                  <c:v>   02/10</c:v>
                </c:pt>
                <c:pt idx="121">
                  <c:v>   03/10</c:v>
                </c:pt>
                <c:pt idx="122">
                  <c:v>   04/10</c:v>
                </c:pt>
                <c:pt idx="123">
                  <c:v>   05/10</c:v>
                </c:pt>
                <c:pt idx="124">
                  <c:v>   06/10</c:v>
                </c:pt>
                <c:pt idx="125">
                  <c:v>   07/10</c:v>
                </c:pt>
                <c:pt idx="126">
                  <c:v>   08/10</c:v>
                </c:pt>
                <c:pt idx="127">
                  <c:v>   09/10</c:v>
                </c:pt>
                <c:pt idx="128">
                  <c:v>   10/10</c:v>
                </c:pt>
                <c:pt idx="129">
                  <c:v>   11/10</c:v>
                </c:pt>
                <c:pt idx="130">
                  <c:v>   12/10</c:v>
                </c:pt>
                <c:pt idx="131">
                  <c:v>   01/11</c:v>
                </c:pt>
                <c:pt idx="132">
                  <c:v>   02/11</c:v>
                </c:pt>
                <c:pt idx="133">
                  <c:v>   03/11</c:v>
                </c:pt>
                <c:pt idx="134">
                  <c:v>   04/11</c:v>
                </c:pt>
                <c:pt idx="135">
                  <c:v>   05/11</c:v>
                </c:pt>
                <c:pt idx="136">
                  <c:v>   06/11</c:v>
                </c:pt>
                <c:pt idx="137">
                  <c:v>   07/11</c:v>
                </c:pt>
                <c:pt idx="138">
                  <c:v>   08/11</c:v>
                </c:pt>
                <c:pt idx="139">
                  <c:v>   09/11</c:v>
                </c:pt>
                <c:pt idx="140">
                  <c:v>   10/11</c:v>
                </c:pt>
                <c:pt idx="141">
                  <c:v>   11/11</c:v>
                </c:pt>
                <c:pt idx="142">
                  <c:v>   12/11</c:v>
                </c:pt>
                <c:pt idx="143">
                  <c:v>   01/12</c:v>
                </c:pt>
                <c:pt idx="144">
                  <c:v>   02/12</c:v>
                </c:pt>
                <c:pt idx="145">
                  <c:v>   03/12</c:v>
                </c:pt>
                <c:pt idx="146">
                  <c:v>   04/12</c:v>
                </c:pt>
                <c:pt idx="147">
                  <c:v>   05/12</c:v>
                </c:pt>
                <c:pt idx="148">
                  <c:v>   06/12</c:v>
                </c:pt>
                <c:pt idx="149">
                  <c:v>   07/12</c:v>
                </c:pt>
                <c:pt idx="150">
                  <c:v>   08/12</c:v>
                </c:pt>
                <c:pt idx="151">
                  <c:v>   09/12</c:v>
                </c:pt>
                <c:pt idx="152">
                  <c:v>   10/12</c:v>
                </c:pt>
                <c:pt idx="153">
                  <c:v>   11/12</c:v>
                </c:pt>
                <c:pt idx="154">
                  <c:v>   12/12</c:v>
                </c:pt>
                <c:pt idx="155">
                  <c:v>   01/13</c:v>
                </c:pt>
                <c:pt idx="156">
                  <c:v>   02/13</c:v>
                </c:pt>
                <c:pt idx="157">
                  <c:v>   03/13</c:v>
                </c:pt>
                <c:pt idx="158">
                  <c:v>   04/13</c:v>
                </c:pt>
                <c:pt idx="159">
                  <c:v>   05/13</c:v>
                </c:pt>
                <c:pt idx="160">
                  <c:v>   06/13</c:v>
                </c:pt>
                <c:pt idx="161">
                  <c:v>   07/13</c:v>
                </c:pt>
                <c:pt idx="162">
                  <c:v>   08/13</c:v>
                </c:pt>
                <c:pt idx="163">
                  <c:v>   09/13</c:v>
                </c:pt>
                <c:pt idx="164">
                  <c:v>   10/13</c:v>
                </c:pt>
                <c:pt idx="165">
                  <c:v>   11/13</c:v>
                </c:pt>
                <c:pt idx="166">
                  <c:v>   12/13</c:v>
                </c:pt>
                <c:pt idx="167">
                  <c:v>   01/14</c:v>
                </c:pt>
                <c:pt idx="168">
                  <c:v>   02/14</c:v>
                </c:pt>
                <c:pt idx="169">
                  <c:v>   03/14</c:v>
                </c:pt>
                <c:pt idx="170">
                  <c:v>   04/14</c:v>
                </c:pt>
                <c:pt idx="171">
                  <c:v>   05/14</c:v>
                </c:pt>
                <c:pt idx="172">
                  <c:v>   06/14</c:v>
                </c:pt>
                <c:pt idx="173">
                  <c:v>   07/14</c:v>
                </c:pt>
                <c:pt idx="174">
                  <c:v>   08/14</c:v>
                </c:pt>
                <c:pt idx="175">
                  <c:v>   09/14</c:v>
                </c:pt>
                <c:pt idx="176">
                  <c:v>   10/14</c:v>
                </c:pt>
                <c:pt idx="177">
                  <c:v>   11/14</c:v>
                </c:pt>
                <c:pt idx="178">
                  <c:v>   12/14</c:v>
                </c:pt>
                <c:pt idx="179">
                  <c:v>   01/15</c:v>
                </c:pt>
                <c:pt idx="180">
                  <c:v>   02/15</c:v>
                </c:pt>
                <c:pt idx="181">
                  <c:v>   03/15</c:v>
                </c:pt>
                <c:pt idx="182">
                  <c:v>   04/15</c:v>
                </c:pt>
                <c:pt idx="183">
                  <c:v>   05/15 - </c:v>
                </c:pt>
                <c:pt idx="184">
                  <c:v>   06/15</c:v>
                </c:pt>
                <c:pt idx="185">
                  <c:v>   07/15</c:v>
                </c:pt>
                <c:pt idx="186">
                  <c:v>   08/15</c:v>
                </c:pt>
                <c:pt idx="187">
                  <c:v>   09/15</c:v>
                </c:pt>
                <c:pt idx="188">
                  <c:v>   10/15</c:v>
                </c:pt>
                <c:pt idx="189">
                  <c:v>   11/15</c:v>
                </c:pt>
                <c:pt idx="190">
                  <c:v>   12/15</c:v>
                </c:pt>
                <c:pt idx="191">
                  <c:v>   01/16</c:v>
                </c:pt>
                <c:pt idx="192">
                  <c:v>   02/16</c:v>
                </c:pt>
                <c:pt idx="193">
                  <c:v>   03/16</c:v>
                </c:pt>
                <c:pt idx="194">
                  <c:v>   04/16</c:v>
                </c:pt>
                <c:pt idx="195">
                  <c:v>   05/16</c:v>
                </c:pt>
                <c:pt idx="196">
                  <c:v>   06/16</c:v>
                </c:pt>
                <c:pt idx="197">
                  <c:v>   07/16</c:v>
                </c:pt>
                <c:pt idx="198">
                  <c:v>   08/16</c:v>
                </c:pt>
                <c:pt idx="199">
                  <c:v>   09/16</c:v>
                </c:pt>
                <c:pt idx="200">
                  <c:v>   10/16</c:v>
                </c:pt>
                <c:pt idx="201">
                  <c:v>   11/16</c:v>
                </c:pt>
                <c:pt idx="202">
                  <c:v>   12/16</c:v>
                </c:pt>
                <c:pt idx="203">
                  <c:v>   01/17</c:v>
                </c:pt>
                <c:pt idx="204">
                  <c:v>   02/17</c:v>
                </c:pt>
                <c:pt idx="205">
                  <c:v>   03/17</c:v>
                </c:pt>
                <c:pt idx="206">
                  <c:v>   04/17</c:v>
                </c:pt>
                <c:pt idx="207">
                  <c:v>   05/17</c:v>
                </c:pt>
                <c:pt idx="208">
                  <c:v>   06/17</c:v>
                </c:pt>
                <c:pt idx="209">
                  <c:v>   07/17</c:v>
                </c:pt>
                <c:pt idx="210">
                  <c:v>   08/17</c:v>
                </c:pt>
                <c:pt idx="211">
                  <c:v>   09/17</c:v>
                </c:pt>
                <c:pt idx="212">
                  <c:v>   10/17</c:v>
                </c:pt>
                <c:pt idx="213">
                  <c:v>   11/17</c:v>
                </c:pt>
                <c:pt idx="214">
                  <c:v>   12/17</c:v>
                </c:pt>
                <c:pt idx="215">
                  <c:v>   01/18</c:v>
                </c:pt>
                <c:pt idx="216">
                  <c:v>   02/18</c:v>
                </c:pt>
                <c:pt idx="217">
                  <c:v>   03/18</c:v>
                </c:pt>
                <c:pt idx="218">
                  <c:v>   04/18</c:v>
                </c:pt>
                <c:pt idx="219">
                  <c:v>   05/18</c:v>
                </c:pt>
                <c:pt idx="220">
                  <c:v>   06/18</c:v>
                </c:pt>
                <c:pt idx="221">
                  <c:v>   07/18</c:v>
                </c:pt>
                <c:pt idx="222">
                  <c:v>   08/18</c:v>
                </c:pt>
                <c:pt idx="223">
                  <c:v>   09/18</c:v>
                </c:pt>
                <c:pt idx="224">
                  <c:v>   10/18</c:v>
                </c:pt>
                <c:pt idx="225">
                  <c:v>   11/18</c:v>
                </c:pt>
                <c:pt idx="226">
                  <c:v>   12/18</c:v>
                </c:pt>
                <c:pt idx="227">
                  <c:v>   01/19</c:v>
                </c:pt>
                <c:pt idx="228">
                  <c:v>   02/19</c:v>
                </c:pt>
                <c:pt idx="229">
                  <c:v>   03/19</c:v>
                </c:pt>
                <c:pt idx="230">
                  <c:v>   04/19-after</c:v>
                </c:pt>
                <c:pt idx="231">
                  <c:v>   05/19</c:v>
                </c:pt>
                <c:pt idx="232">
                  <c:v>   06/19</c:v>
                </c:pt>
                <c:pt idx="233">
                  <c:v>   07/19</c:v>
                </c:pt>
                <c:pt idx="234">
                  <c:v>   08/19</c:v>
                </c:pt>
                <c:pt idx="235">
                  <c:v>   09/19</c:v>
                </c:pt>
                <c:pt idx="236">
                  <c:v>   10/19</c:v>
                </c:pt>
                <c:pt idx="237">
                  <c:v>   11/19</c:v>
                </c:pt>
                <c:pt idx="238">
                  <c:v>   12/19</c:v>
                </c:pt>
                <c:pt idx="239">
                  <c:v>   01/20</c:v>
                </c:pt>
                <c:pt idx="240">
                  <c:v>   02/20</c:v>
                </c:pt>
                <c:pt idx="241">
                  <c:v>   03/20</c:v>
                </c:pt>
                <c:pt idx="242">
                  <c:v>   04/20 - After</c:v>
                </c:pt>
                <c:pt idx="243">
                  <c:v>   05/20</c:v>
                </c:pt>
                <c:pt idx="244">
                  <c:v>   06/20</c:v>
                </c:pt>
                <c:pt idx="245">
                  <c:v>   07/20</c:v>
                </c:pt>
                <c:pt idx="246">
                  <c:v>   08/20</c:v>
                </c:pt>
                <c:pt idx="247">
                  <c:v>   09/20</c:v>
                </c:pt>
                <c:pt idx="248">
                  <c:v>   10/20</c:v>
                </c:pt>
                <c:pt idx="249">
                  <c:v>   11/20</c:v>
                </c:pt>
                <c:pt idx="250">
                  <c:v>   12/20</c:v>
                </c:pt>
                <c:pt idx="251">
                  <c:v>   01/21</c:v>
                </c:pt>
                <c:pt idx="252">
                  <c:v>   02/21</c:v>
                </c:pt>
                <c:pt idx="253">
                  <c:v>   03/21</c:v>
                </c:pt>
                <c:pt idx="254">
                  <c:v>   04/21-aft trnsfr</c:v>
                </c:pt>
                <c:pt idx="255">
                  <c:v>   05/21</c:v>
                </c:pt>
                <c:pt idx="256">
                  <c:v>   06/21</c:v>
                </c:pt>
                <c:pt idx="257">
                  <c:v>   07/21</c:v>
                </c:pt>
                <c:pt idx="258">
                  <c:v>   08/21</c:v>
                </c:pt>
                <c:pt idx="259">
                  <c:v>   09/21</c:v>
                </c:pt>
                <c:pt idx="260">
                  <c:v>   10/21</c:v>
                </c:pt>
                <c:pt idx="261">
                  <c:v>   11/21</c:v>
                </c:pt>
                <c:pt idx="262">
                  <c:v>   12/21</c:v>
                </c:pt>
                <c:pt idx="263">
                  <c:v>   01/22</c:v>
                </c:pt>
                <c:pt idx="264">
                  <c:v>   02/22</c:v>
                </c:pt>
                <c:pt idx="265">
                  <c:v>   03/22</c:v>
                </c:pt>
                <c:pt idx="266">
                  <c:v>   04/22</c:v>
                </c:pt>
                <c:pt idx="267">
                  <c:v>   04/22- After</c:v>
                </c:pt>
                <c:pt idx="268">
                  <c:v>   05/22</c:v>
                </c:pt>
                <c:pt idx="269">
                  <c:v>   06/22</c:v>
                </c:pt>
                <c:pt idx="270">
                  <c:v>   07/22</c:v>
                </c:pt>
                <c:pt idx="271">
                  <c:v>   08/22</c:v>
                </c:pt>
                <c:pt idx="272">
                  <c:v>   09/22</c:v>
                </c:pt>
                <c:pt idx="273">
                  <c:v>   10/22</c:v>
                </c:pt>
              </c:strCache>
            </c:strRef>
          </c:cat>
          <c:val>
            <c:numRef>
              <c:f>'Data for Graph 1'!$F$6:$F$279</c:f>
              <c:numCache>
                <c:ptCount val="274"/>
                <c:pt idx="0">
                  <c:v>1800000</c:v>
                </c:pt>
                <c:pt idx="1">
                  <c:v>1811900</c:v>
                </c:pt>
                <c:pt idx="2">
                  <c:v>1787000</c:v>
                </c:pt>
                <c:pt idx="3">
                  <c:v>1755300</c:v>
                </c:pt>
                <c:pt idx="4">
                  <c:v>1769700</c:v>
                </c:pt>
                <c:pt idx="5">
                  <c:v>1795200</c:v>
                </c:pt>
                <c:pt idx="6">
                  <c:v>1898400</c:v>
                </c:pt>
                <c:pt idx="7">
                  <c:v>1908700</c:v>
                </c:pt>
                <c:pt idx="8">
                  <c:v>1935200</c:v>
                </c:pt>
                <c:pt idx="9">
                  <c:v>1848600</c:v>
                </c:pt>
                <c:pt idx="10">
                  <c:v>1911400</c:v>
                </c:pt>
                <c:pt idx="11">
                  <c:v>1988300</c:v>
                </c:pt>
                <c:pt idx="12">
                  <c:v>1913700</c:v>
                </c:pt>
                <c:pt idx="13">
                  <c:v>1881200</c:v>
                </c:pt>
                <c:pt idx="14">
                  <c:v>1977000</c:v>
                </c:pt>
                <c:pt idx="15">
                  <c:v>1912500</c:v>
                </c:pt>
                <c:pt idx="16">
                  <c:v>1911300</c:v>
                </c:pt>
                <c:pt idx="17">
                  <c:v>1939000</c:v>
                </c:pt>
                <c:pt idx="18">
                  <c:v>1895800</c:v>
                </c:pt>
                <c:pt idx="19">
                  <c:v>1737500</c:v>
                </c:pt>
                <c:pt idx="20">
                  <c:v>1787900</c:v>
                </c:pt>
                <c:pt idx="21">
                  <c:v>1881300</c:v>
                </c:pt>
                <c:pt idx="22">
                  <c:v>1937900</c:v>
                </c:pt>
                <c:pt idx="23">
                  <c:v>1908700</c:v>
                </c:pt>
                <c:pt idx="24">
                  <c:v>1876500</c:v>
                </c:pt>
                <c:pt idx="25">
                  <c:v>1946900</c:v>
                </c:pt>
                <c:pt idx="26">
                  <c:v>1893500</c:v>
                </c:pt>
                <c:pt idx="27">
                  <c:v>1778200</c:v>
                </c:pt>
                <c:pt idx="28">
                  <c:v>1701100</c:v>
                </c:pt>
                <c:pt idx="29">
                  <c:v>1599600</c:v>
                </c:pt>
                <c:pt idx="30">
                  <c:v>1619600</c:v>
                </c:pt>
                <c:pt idx="31">
                  <c:v>1532300</c:v>
                </c:pt>
                <c:pt idx="32">
                  <c:v>1544700</c:v>
                </c:pt>
                <c:pt idx="33">
                  <c:v>1582800</c:v>
                </c:pt>
                <c:pt idx="34">
                  <c:v>1555100</c:v>
                </c:pt>
                <c:pt idx="35">
                  <c:v>1537700</c:v>
                </c:pt>
                <c:pt idx="36">
                  <c:v>1517000</c:v>
                </c:pt>
                <c:pt idx="37">
                  <c:v>1547700</c:v>
                </c:pt>
                <c:pt idx="38">
                  <c:v>1622200</c:v>
                </c:pt>
                <c:pt idx="39">
                  <c:v>1631700</c:v>
                </c:pt>
                <c:pt idx="40">
                  <c:v>1652400</c:v>
                </c:pt>
                <c:pt idx="41">
                  <c:v>1677900</c:v>
                </c:pt>
                <c:pt idx="42">
                  <c:v>1716200</c:v>
                </c:pt>
                <c:pt idx="43">
                  <c:v>1713300</c:v>
                </c:pt>
                <c:pt idx="44">
                  <c:v>1770700</c:v>
                </c:pt>
                <c:pt idx="45">
                  <c:v>1819700</c:v>
                </c:pt>
                <c:pt idx="46">
                  <c:v>1872300</c:v>
                </c:pt>
                <c:pt idx="47">
                  <c:v>1904800</c:v>
                </c:pt>
                <c:pt idx="48">
                  <c:v>1916500</c:v>
                </c:pt>
                <c:pt idx="49">
                  <c:v>1928800</c:v>
                </c:pt>
                <c:pt idx="50">
                  <c:v>1875200</c:v>
                </c:pt>
                <c:pt idx="51">
                  <c:v>1879700</c:v>
                </c:pt>
                <c:pt idx="52">
                  <c:v>1823625</c:v>
                </c:pt>
                <c:pt idx="53">
                  <c:v>1752500</c:v>
                </c:pt>
                <c:pt idx="54">
                  <c:v>1752100</c:v>
                </c:pt>
                <c:pt idx="55">
                  <c:v>1779100</c:v>
                </c:pt>
                <c:pt idx="56">
                  <c:v>1790800</c:v>
                </c:pt>
                <c:pt idx="57">
                  <c:v>1870989.4</c:v>
                </c:pt>
                <c:pt idx="58">
                  <c:v>1933638</c:v>
                </c:pt>
                <c:pt idx="59">
                  <c:v>1898532.06</c:v>
                </c:pt>
                <c:pt idx="60">
                  <c:v>1930080.08</c:v>
                </c:pt>
                <c:pt idx="61">
                  <c:v>1917084.69</c:v>
                </c:pt>
                <c:pt idx="62">
                  <c:v>1847071.89</c:v>
                </c:pt>
                <c:pt idx="63">
                  <c:v>1786765.22</c:v>
                </c:pt>
                <c:pt idx="64">
                  <c:v>1823994.63</c:v>
                </c:pt>
                <c:pt idx="65">
                  <c:v>1885333.3900000001</c:v>
                </c:pt>
                <c:pt idx="66">
                  <c:v>1871781.0699999998</c:v>
                </c:pt>
                <c:pt idx="67">
                  <c:v>1861634.91</c:v>
                </c:pt>
                <c:pt idx="68">
                  <c:v>1822904.9300000002</c:v>
                </c:pt>
                <c:pt idx="69">
                  <c:v>1909800.92</c:v>
                </c:pt>
                <c:pt idx="70">
                  <c:v>1918880.7</c:v>
                </c:pt>
                <c:pt idx="71">
                  <c:v>2005798.56</c:v>
                </c:pt>
                <c:pt idx="72">
                  <c:v>2010316.67</c:v>
                </c:pt>
                <c:pt idx="73">
                  <c:v>2034529.1300000001</c:v>
                </c:pt>
                <c:pt idx="74">
                  <c:v>2052410.15</c:v>
                </c:pt>
                <c:pt idx="75">
                  <c:v>1894687.48</c:v>
                </c:pt>
                <c:pt idx="76">
                  <c:v>1891358.88</c:v>
                </c:pt>
                <c:pt idx="77">
                  <c:v>1862496.7599999998</c:v>
                </c:pt>
                <c:pt idx="78">
                  <c:v>1883261.83</c:v>
                </c:pt>
                <c:pt idx="79">
                  <c:v>1899484.59</c:v>
                </c:pt>
                <c:pt idx="80">
                  <c:v>1936591.3900000001</c:v>
                </c:pt>
                <c:pt idx="81">
                  <c:v>1978852.6300000001</c:v>
                </c:pt>
                <c:pt idx="82">
                  <c:v>1984700.9699999997</c:v>
                </c:pt>
                <c:pt idx="83">
                  <c:v>2003888.55</c:v>
                </c:pt>
                <c:pt idx="84">
                  <c:v>2014445.94</c:v>
                </c:pt>
                <c:pt idx="85">
                  <c:v>2028612.16</c:v>
                </c:pt>
                <c:pt idx="86">
                  <c:v>2056789.42</c:v>
                </c:pt>
                <c:pt idx="87">
                  <c:v>2005592.0400000003</c:v>
                </c:pt>
                <c:pt idx="88">
                  <c:v>2001098.3900000001</c:v>
                </c:pt>
                <c:pt idx="89">
                  <c:v>1955851.67</c:v>
                </c:pt>
                <c:pt idx="90">
                  <c:v>1954881.44</c:v>
                </c:pt>
                <c:pt idx="91">
                  <c:v>2003218.6300000001</c:v>
                </c:pt>
                <c:pt idx="92">
                  <c:v>2070731.8</c:v>
                </c:pt>
                <c:pt idx="93">
                  <c:v>1996156.55</c:v>
                </c:pt>
                <c:pt idx="94">
                  <c:v>1989854.71</c:v>
                </c:pt>
                <c:pt idx="95">
                  <c:v>1915413.2</c:v>
                </c:pt>
                <c:pt idx="96">
                  <c:v>1886392.55</c:v>
                </c:pt>
                <c:pt idx="97">
                  <c:v>1851595.01</c:v>
                </c:pt>
                <c:pt idx="98">
                  <c:v>1924307.75</c:v>
                </c:pt>
                <c:pt idx="99">
                  <c:v>1854084.63</c:v>
                </c:pt>
                <c:pt idx="100">
                  <c:v>1767666.32</c:v>
                </c:pt>
                <c:pt idx="101">
                  <c:v>1727614.36</c:v>
                </c:pt>
                <c:pt idx="102">
                  <c:v>1742492.06</c:v>
                </c:pt>
                <c:pt idx="103">
                  <c:v>1635665.76</c:v>
                </c:pt>
                <c:pt idx="104">
                  <c:v>1494188.81</c:v>
                </c:pt>
                <c:pt idx="105">
                  <c:v>1429809.92</c:v>
                </c:pt>
                <c:pt idx="106">
                  <c:v>1463784.45</c:v>
                </c:pt>
                <c:pt idx="107">
                  <c:v>1401172.46</c:v>
                </c:pt>
                <c:pt idx="108">
                  <c:v>1356811.98</c:v>
                </c:pt>
                <c:pt idx="109">
                  <c:v>1402067.44</c:v>
                </c:pt>
                <c:pt idx="110">
                  <c:v>1441842.84</c:v>
                </c:pt>
                <c:pt idx="111">
                  <c:v>1429792.73</c:v>
                </c:pt>
                <c:pt idx="112">
                  <c:v>1433334.15</c:v>
                </c:pt>
                <c:pt idx="113">
                  <c:v>1466844.93</c:v>
                </c:pt>
                <c:pt idx="114">
                  <c:v>1476983.16</c:v>
                </c:pt>
                <c:pt idx="115">
                  <c:v>1504696.87</c:v>
                </c:pt>
                <c:pt idx="116">
                  <c:v>1472620.85</c:v>
                </c:pt>
                <c:pt idx="117">
                  <c:v>1516550.16</c:v>
                </c:pt>
                <c:pt idx="118">
                  <c:v>1543932.6</c:v>
                </c:pt>
                <c:pt idx="119">
                  <c:v>1508935.5000000002</c:v>
                </c:pt>
                <c:pt idx="120">
                  <c:v>1544574.52</c:v>
                </c:pt>
                <c:pt idx="121">
                  <c:v>1602757.4999999998</c:v>
                </c:pt>
                <c:pt idx="122">
                  <c:v>1643786.81</c:v>
                </c:pt>
                <c:pt idx="123">
                  <c:v>1480758.5</c:v>
                </c:pt>
                <c:pt idx="124">
                  <c:v>1456607.89</c:v>
                </c:pt>
                <c:pt idx="125">
                  <c:v>1509001.05</c:v>
                </c:pt>
                <c:pt idx="126">
                  <c:v>1481269.47</c:v>
                </c:pt>
                <c:pt idx="127">
                  <c:v>1563296.6800000002</c:v>
                </c:pt>
                <c:pt idx="128">
                  <c:v>1589139.1099999999</c:v>
                </c:pt>
                <c:pt idx="129">
                  <c:v>1613397.6600000001</c:v>
                </c:pt>
                <c:pt idx="130">
                  <c:v>1679918.17</c:v>
                </c:pt>
                <c:pt idx="131">
                  <c:v>1701489.16</c:v>
                </c:pt>
                <c:pt idx="132">
                  <c:v>1756047.94</c:v>
                </c:pt>
                <c:pt idx="133">
                  <c:v>1763664.03</c:v>
                </c:pt>
                <c:pt idx="134">
                  <c:v>1815527.79</c:v>
                </c:pt>
                <c:pt idx="135">
                  <c:v>1700699.13</c:v>
                </c:pt>
                <c:pt idx="136">
                  <c:v>1677490.44</c:v>
                </c:pt>
                <c:pt idx="137">
                  <c:v>1637440.03</c:v>
                </c:pt>
                <c:pt idx="138">
                  <c:v>1548097.31</c:v>
                </c:pt>
                <c:pt idx="139">
                  <c:v>1470066.5</c:v>
                </c:pt>
                <c:pt idx="140">
                  <c:v>1568793.03</c:v>
                </c:pt>
                <c:pt idx="141">
                  <c:v>1591388.1700000002</c:v>
                </c:pt>
                <c:pt idx="142">
                  <c:v>1608557.5899999999</c:v>
                </c:pt>
                <c:pt idx="143">
                  <c:v>1713758.5499999998</c:v>
                </c:pt>
                <c:pt idx="144">
                  <c:v>1764007.5100000002</c:v>
                </c:pt>
                <c:pt idx="145">
                  <c:v>1801241.7699999998</c:v>
                </c:pt>
                <c:pt idx="146">
                  <c:v>1767918.49</c:v>
                </c:pt>
                <c:pt idx="147">
                  <c:v>1587718.49</c:v>
                </c:pt>
                <c:pt idx="148">
                  <c:v>1611213.49</c:v>
                </c:pt>
                <c:pt idx="149">
                  <c:v>1623454.33</c:v>
                </c:pt>
                <c:pt idx="150">
                  <c:v>1657986.89</c:v>
                </c:pt>
                <c:pt idx="151">
                  <c:v>1685843.75</c:v>
                </c:pt>
                <c:pt idx="152">
                  <c:v>1661059.2</c:v>
                </c:pt>
                <c:pt idx="153">
                  <c:v>1669043.42</c:v>
                </c:pt>
                <c:pt idx="154">
                  <c:v>1690063.05</c:v>
                </c:pt>
                <c:pt idx="155">
                  <c:v>1773489.06</c:v>
                </c:pt>
                <c:pt idx="156">
                  <c:v>1784079.83</c:v>
                </c:pt>
                <c:pt idx="157">
                  <c:v>1824744.92</c:v>
                </c:pt>
                <c:pt idx="158">
                  <c:v>1851424.1600000001</c:v>
                </c:pt>
                <c:pt idx="159">
                  <c:v>1811081.2599999998</c:v>
                </c:pt>
                <c:pt idx="160">
                  <c:v>1771742.13</c:v>
                </c:pt>
                <c:pt idx="161">
                  <c:v>1866117.9599999997</c:v>
                </c:pt>
                <c:pt idx="162">
                  <c:v>1828484.1300000001</c:v>
                </c:pt>
                <c:pt idx="163">
                  <c:v>1904826.1700000002</c:v>
                </c:pt>
                <c:pt idx="164">
                  <c:v>1972428.24</c:v>
                </c:pt>
                <c:pt idx="165">
                  <c:v>2037982.02</c:v>
                </c:pt>
                <c:pt idx="166">
                  <c:v>2068905.4100000001</c:v>
                </c:pt>
                <c:pt idx="167">
                  <c:v>2009643.0399999998</c:v>
                </c:pt>
                <c:pt idx="168">
                  <c:v>2093899.87</c:v>
                </c:pt>
                <c:pt idx="169">
                  <c:v>2102498.5200000005</c:v>
                </c:pt>
                <c:pt idx="170">
                  <c:v>2073183.7499999998</c:v>
                </c:pt>
                <c:pt idx="171">
                  <c:v>1998556.0899999999</c:v>
                </c:pt>
                <c:pt idx="172">
                  <c:v>2061930.25</c:v>
                </c:pt>
                <c:pt idx="173">
                  <c:v>1996565.07</c:v>
                </c:pt>
                <c:pt idx="174">
                  <c:v>2060523.7</c:v>
                </c:pt>
                <c:pt idx="175">
                  <c:v>1994374.6700000002</c:v>
                </c:pt>
                <c:pt idx="176">
                  <c:v>2040898.65</c:v>
                </c:pt>
                <c:pt idx="177">
                  <c:v>2051570.7499999998</c:v>
                </c:pt>
                <c:pt idx="178">
                  <c:v>2053922.6400000001</c:v>
                </c:pt>
                <c:pt idx="179">
                  <c:v>2011177.62</c:v>
                </c:pt>
                <c:pt idx="180">
                  <c:v>2106730.37</c:v>
                </c:pt>
                <c:pt idx="181">
                  <c:v>2087225.29</c:v>
                </c:pt>
                <c:pt idx="182">
                  <c:v>2077409.23</c:v>
                </c:pt>
                <c:pt idx="183">
                  <c:v>1974715.82</c:v>
                </c:pt>
                <c:pt idx="184">
                  <c:v>1942483.8800000001</c:v>
                </c:pt>
                <c:pt idx="185">
                  <c:v>1956580.7</c:v>
                </c:pt>
                <c:pt idx="186">
                  <c:v>1867823.6900000002</c:v>
                </c:pt>
                <c:pt idx="187">
                  <c:v>1817235.21</c:v>
                </c:pt>
                <c:pt idx="188">
                  <c:v>1891568.64</c:v>
                </c:pt>
                <c:pt idx="189">
                  <c:v>1906856.59</c:v>
                </c:pt>
                <c:pt idx="190">
                  <c:v>1847099.3499999999</c:v>
                </c:pt>
                <c:pt idx="191">
                  <c:v>1760642.0699999998</c:v>
                </c:pt>
                <c:pt idx="192">
                  <c:v>1760255.4300000002</c:v>
                </c:pt>
                <c:pt idx="193">
                  <c:v>1857385.02</c:v>
                </c:pt>
                <c:pt idx="194">
                  <c:v>1876726.78</c:v>
                </c:pt>
                <c:pt idx="195">
                  <c:v>1802863.81</c:v>
                </c:pt>
                <c:pt idx="196">
                  <c:v>1814743.19</c:v>
                </c:pt>
                <c:pt idx="197">
                  <c:v>1883879.26</c:v>
                </c:pt>
                <c:pt idx="198">
                  <c:v>1895130.23</c:v>
                </c:pt>
                <c:pt idx="199">
                  <c:v>1888034.1400000001</c:v>
                </c:pt>
                <c:pt idx="200">
                  <c:v>1855022.43</c:v>
                </c:pt>
                <c:pt idx="201">
                  <c:v>1924198.94</c:v>
                </c:pt>
                <c:pt idx="202">
                  <c:v>1961578.51</c:v>
                </c:pt>
                <c:pt idx="203">
                  <c:v>1979590.98</c:v>
                </c:pt>
                <c:pt idx="204">
                  <c:v>2021779.41</c:v>
                </c:pt>
                <c:pt idx="205">
                  <c:v>2017307.07</c:v>
                </c:pt>
                <c:pt idx="206">
                  <c:v>2035846.01</c:v>
                </c:pt>
                <c:pt idx="207">
                  <c:v>1923132.26</c:v>
                </c:pt>
                <c:pt idx="208">
                  <c:v>1954281.3499999999</c:v>
                </c:pt>
                <c:pt idx="209">
                  <c:v>1982045.3299999998</c:v>
                </c:pt>
                <c:pt idx="210">
                  <c:v>1972346.5499999998</c:v>
                </c:pt>
                <c:pt idx="211">
                  <c:v>2021546.45</c:v>
                </c:pt>
                <c:pt idx="212">
                  <c:v>2056171.73</c:v>
                </c:pt>
                <c:pt idx="213">
                  <c:v>2111729.7199999997</c:v>
                </c:pt>
                <c:pt idx="214">
                  <c:v>2115568.6799999997</c:v>
                </c:pt>
                <c:pt idx="215">
                  <c:v>2179756.7</c:v>
                </c:pt>
                <c:pt idx="216">
                  <c:v>2108322.5300000003</c:v>
                </c:pt>
                <c:pt idx="217">
                  <c:v>2087634.0399999998</c:v>
                </c:pt>
                <c:pt idx="218">
                  <c:v>2084235.7799999998</c:v>
                </c:pt>
                <c:pt idx="219">
                  <c:v>2132706.05</c:v>
                </c:pt>
                <c:pt idx="220">
                  <c:v>2139681</c:v>
                </c:pt>
                <c:pt idx="221">
                  <c:v>2177468.5</c:v>
                </c:pt>
                <c:pt idx="222">
                  <c:v>2221276.9299999997</c:v>
                </c:pt>
                <c:pt idx="223">
                  <c:v>2218304.9699999997</c:v>
                </c:pt>
                <c:pt idx="224">
                  <c:v>1974594.27</c:v>
                </c:pt>
                <c:pt idx="225">
                  <c:v>1988881.21</c:v>
                </c:pt>
                <c:pt idx="226">
                  <c:v>1850479.3599999999</c:v>
                </c:pt>
                <c:pt idx="227">
                  <c:v>1971891.8900000001</c:v>
                </c:pt>
                <c:pt idx="228">
                  <c:v>2018639.5</c:v>
                </c:pt>
                <c:pt idx="229">
                  <c:v>2064046.12</c:v>
                </c:pt>
                <c:pt idx="230">
                  <c:v>2020968.4100000001</c:v>
                </c:pt>
                <c:pt idx="231">
                  <c:v>1924484.52</c:v>
                </c:pt>
                <c:pt idx="232">
                  <c:v>2037099.41</c:v>
                </c:pt>
                <c:pt idx="233">
                  <c:v>2060219.0999999999</c:v>
                </c:pt>
                <c:pt idx="234">
                  <c:v>2070409.92</c:v>
                </c:pt>
                <c:pt idx="235">
                  <c:v>2069775.77</c:v>
                </c:pt>
                <c:pt idx="236">
                  <c:v>2097653.25</c:v>
                </c:pt>
                <c:pt idx="237">
                  <c:v>2162844.96</c:v>
                </c:pt>
                <c:pt idx="238">
                  <c:v>2190465.69</c:v>
                </c:pt>
                <c:pt idx="239">
                  <c:v>2201524.72</c:v>
                </c:pt>
                <c:pt idx="240">
                  <c:v>2064383.77</c:v>
                </c:pt>
                <c:pt idx="241">
                  <c:v>1820480.03</c:v>
                </c:pt>
                <c:pt idx="242">
                  <c:v>1922103.9500000002</c:v>
                </c:pt>
                <c:pt idx="243">
                  <c:v>2027746.36</c:v>
                </c:pt>
                <c:pt idx="244">
                  <c:v>2103097.84</c:v>
                </c:pt>
                <c:pt idx="245">
                  <c:v>2208954.41</c:v>
                </c:pt>
                <c:pt idx="246">
                  <c:v>2360557.09</c:v>
                </c:pt>
                <c:pt idx="247">
                  <c:v>2275975.83</c:v>
                </c:pt>
                <c:pt idx="248">
                  <c:v>2248354.82</c:v>
                </c:pt>
                <c:pt idx="249">
                  <c:v>2447674.4499999997</c:v>
                </c:pt>
                <c:pt idx="250">
                  <c:v>2535639.55</c:v>
                </c:pt>
                <c:pt idx="251">
                  <c:v>2552992.59</c:v>
                </c:pt>
                <c:pt idx="252">
                  <c:v>2635724.82</c:v>
                </c:pt>
                <c:pt idx="253">
                  <c:v>2663236.01</c:v>
                </c:pt>
                <c:pt idx="254">
                  <c:v>2777033.8699999996</c:v>
                </c:pt>
                <c:pt idx="255">
                  <c:v>2834106.86</c:v>
                </c:pt>
                <c:pt idx="256">
                  <c:v>2888315.2800000003</c:v>
                </c:pt>
                <c:pt idx="257">
                  <c:v>2872367.66</c:v>
                </c:pt>
                <c:pt idx="258">
                  <c:v>2906593.2800000003</c:v>
                </c:pt>
                <c:pt idx="259">
                  <c:v>2823244.19</c:v>
                </c:pt>
                <c:pt idx="260">
                  <c:v>2961626.2199999997</c:v>
                </c:pt>
                <c:pt idx="261">
                  <c:v>2883813.83</c:v>
                </c:pt>
                <c:pt idx="262">
                  <c:v>2972342.4299999997</c:v>
                </c:pt>
                <c:pt idx="263">
                  <c:v>2799591.87</c:v>
                </c:pt>
                <c:pt idx="264">
                  <c:v>2714067.22</c:v>
                </c:pt>
                <c:pt idx="265">
                  <c:v>2781766.66</c:v>
                </c:pt>
                <c:pt idx="266">
                  <c:v>2550410.06</c:v>
                </c:pt>
                <c:pt idx="267">
                  <c:v>2411910.06</c:v>
                </c:pt>
                <c:pt idx="268">
                  <c:v>2420813.93</c:v>
                </c:pt>
                <c:pt idx="269">
                  <c:v>2261066.81</c:v>
                </c:pt>
                <c:pt idx="270">
                  <c:v>2428107.26</c:v>
                </c:pt>
                <c:pt idx="271">
                  <c:v>2355111.36</c:v>
                </c:pt>
                <c:pt idx="272">
                  <c:v>2151178.12</c:v>
                </c:pt>
                <c:pt idx="273">
                  <c:v>2264782.49</c:v>
                </c:pt>
              </c:numCache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At val="1.2999999999999997E+174"/>
        <c:auto val="1"/>
        <c:lblOffset val="100"/>
        <c:tickLblSkip val="12"/>
        <c:tickMarkSkip val="6"/>
        <c:noMultiLvlLbl val="0"/>
      </c:catAx>
      <c:valAx>
        <c:axId val="43285825"/>
        <c:scaling>
          <c:orientation val="minMax"/>
          <c:max val="3000000"/>
          <c:min val="13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0015"/>
                <c:y val="-0.021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MPSIF Funds Cumulative Return Performance</a:t>
            </a:r>
          </a:p>
        </c:rich>
      </c:tx>
      <c:layout>
        <c:manualLayout>
          <c:xMode val="factor"/>
          <c:yMode val="factor"/>
          <c:x val="-0.060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075"/>
          <c:w val="0.95225"/>
          <c:h val="0.90625"/>
        </c:manualLayout>
      </c:layout>
      <c:lineChart>
        <c:grouping val="standard"/>
        <c:varyColors val="0"/>
        <c:ser>
          <c:idx val="0"/>
          <c:order val="0"/>
          <c:tx>
            <c:v>Growth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cat>
            <c:strRef>
              <c:f>'Data for Graph 2'!$A$3:$A$275</c:f>
              <c:strCache>
                <c:ptCount val="273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  <c:pt idx="5">
                  <c:v>   07/00</c:v>
                </c:pt>
                <c:pt idx="6">
                  <c:v>   08/00</c:v>
                </c:pt>
                <c:pt idx="7">
                  <c:v>   09/00</c:v>
                </c:pt>
                <c:pt idx="8">
                  <c:v>   10/00</c:v>
                </c:pt>
                <c:pt idx="9">
                  <c:v>   11/00</c:v>
                </c:pt>
                <c:pt idx="10">
                  <c:v>   12/00</c:v>
                </c:pt>
                <c:pt idx="11">
                  <c:v>   01/2001</c:v>
                </c:pt>
                <c:pt idx="12">
                  <c:v>   02/01</c:v>
                </c:pt>
                <c:pt idx="13">
                  <c:v>   03/01</c:v>
                </c:pt>
                <c:pt idx="14">
                  <c:v>   04/01</c:v>
                </c:pt>
                <c:pt idx="15">
                  <c:v>   05/01</c:v>
                </c:pt>
                <c:pt idx="16">
                  <c:v>   06/01</c:v>
                </c:pt>
                <c:pt idx="17">
                  <c:v>   07/01</c:v>
                </c:pt>
                <c:pt idx="18">
                  <c:v>   08/01</c:v>
                </c:pt>
                <c:pt idx="19">
                  <c:v>   09/01</c:v>
                </c:pt>
                <c:pt idx="20">
                  <c:v>   10/01</c:v>
                </c:pt>
                <c:pt idx="21">
                  <c:v>   11/01</c:v>
                </c:pt>
                <c:pt idx="22">
                  <c:v>   12/01</c:v>
                </c:pt>
                <c:pt idx="23">
                  <c:v>   01/2002</c:v>
                </c:pt>
                <c:pt idx="24">
                  <c:v>   02/02</c:v>
                </c:pt>
                <c:pt idx="25">
                  <c:v>   03/02</c:v>
                </c:pt>
                <c:pt idx="26">
                  <c:v>   04/02</c:v>
                </c:pt>
                <c:pt idx="27">
                  <c:v>   05/02</c:v>
                </c:pt>
                <c:pt idx="28">
                  <c:v>   06/02</c:v>
                </c:pt>
                <c:pt idx="29">
                  <c:v>   07/02</c:v>
                </c:pt>
                <c:pt idx="30">
                  <c:v>   08/02</c:v>
                </c:pt>
                <c:pt idx="31">
                  <c:v>   09/02</c:v>
                </c:pt>
                <c:pt idx="32">
                  <c:v>   10/02</c:v>
                </c:pt>
                <c:pt idx="33">
                  <c:v>   11/02</c:v>
                </c:pt>
                <c:pt idx="34">
                  <c:v>   12/02</c:v>
                </c:pt>
                <c:pt idx="35">
                  <c:v>   01/2003</c:v>
                </c:pt>
                <c:pt idx="36">
                  <c:v>   02/03</c:v>
                </c:pt>
                <c:pt idx="37">
                  <c:v>   03/03</c:v>
                </c:pt>
                <c:pt idx="38">
                  <c:v>   04/03</c:v>
                </c:pt>
                <c:pt idx="39">
                  <c:v>   05/03</c:v>
                </c:pt>
                <c:pt idx="40">
                  <c:v>   06/03</c:v>
                </c:pt>
                <c:pt idx="41">
                  <c:v>   07/03</c:v>
                </c:pt>
                <c:pt idx="42">
                  <c:v>   08/03</c:v>
                </c:pt>
                <c:pt idx="43">
                  <c:v>   09/03</c:v>
                </c:pt>
                <c:pt idx="44">
                  <c:v>   10/03</c:v>
                </c:pt>
                <c:pt idx="45">
                  <c:v>   11/03</c:v>
                </c:pt>
                <c:pt idx="46">
                  <c:v>   12/03</c:v>
                </c:pt>
                <c:pt idx="47">
                  <c:v>   01/2004</c:v>
                </c:pt>
                <c:pt idx="48">
                  <c:v>   02/04</c:v>
                </c:pt>
                <c:pt idx="49">
                  <c:v>   03/04</c:v>
                </c:pt>
                <c:pt idx="50">
                  <c:v>   04/04</c:v>
                </c:pt>
                <c:pt idx="51">
                  <c:v>   05/04</c:v>
                </c:pt>
                <c:pt idx="52">
                  <c:v>   06/04</c:v>
                </c:pt>
                <c:pt idx="53">
                  <c:v>   07/04</c:v>
                </c:pt>
                <c:pt idx="54">
                  <c:v>   08/04</c:v>
                </c:pt>
                <c:pt idx="55">
                  <c:v>   09/04</c:v>
                </c:pt>
                <c:pt idx="56">
                  <c:v>   10/04</c:v>
                </c:pt>
                <c:pt idx="57">
                  <c:v>   11/04</c:v>
                </c:pt>
                <c:pt idx="58">
                  <c:v>   12/04</c:v>
                </c:pt>
                <c:pt idx="59">
                  <c:v>   01/2005</c:v>
                </c:pt>
                <c:pt idx="60">
                  <c:v>   02/05</c:v>
                </c:pt>
                <c:pt idx="61">
                  <c:v>   03/05</c:v>
                </c:pt>
                <c:pt idx="62">
                  <c:v>   04/05</c:v>
                </c:pt>
                <c:pt idx="63">
                  <c:v>   05/05</c:v>
                </c:pt>
                <c:pt idx="64">
                  <c:v>   06/05</c:v>
                </c:pt>
                <c:pt idx="65">
                  <c:v>   07/05</c:v>
                </c:pt>
                <c:pt idx="66">
                  <c:v>   08/05</c:v>
                </c:pt>
                <c:pt idx="67">
                  <c:v>   09/05</c:v>
                </c:pt>
                <c:pt idx="68">
                  <c:v>   10/05</c:v>
                </c:pt>
                <c:pt idx="69">
                  <c:v>   11/05</c:v>
                </c:pt>
                <c:pt idx="70">
                  <c:v>   12/05</c:v>
                </c:pt>
                <c:pt idx="71">
                  <c:v>   01/2006</c:v>
                </c:pt>
                <c:pt idx="72">
                  <c:v>   02/06</c:v>
                </c:pt>
                <c:pt idx="73">
                  <c:v>   03/06</c:v>
                </c:pt>
                <c:pt idx="74">
                  <c:v>   04/06</c:v>
                </c:pt>
                <c:pt idx="76">
                  <c:v>   06/06</c:v>
                </c:pt>
                <c:pt idx="77">
                  <c:v>   07/06</c:v>
                </c:pt>
                <c:pt idx="78">
                  <c:v>   08/06</c:v>
                </c:pt>
                <c:pt idx="79">
                  <c:v>   09/06</c:v>
                </c:pt>
                <c:pt idx="80">
                  <c:v>   10/06</c:v>
                </c:pt>
                <c:pt idx="81">
                  <c:v>   11/06</c:v>
                </c:pt>
                <c:pt idx="82">
                  <c:v>   12/06</c:v>
                </c:pt>
                <c:pt idx="83">
                  <c:v>   01/2007</c:v>
                </c:pt>
                <c:pt idx="84">
                  <c:v>   02/07</c:v>
                </c:pt>
                <c:pt idx="85">
                  <c:v>   03/07</c:v>
                </c:pt>
                <c:pt idx="86">
                  <c:v>   04/07</c:v>
                </c:pt>
                <c:pt idx="87">
                  <c:v>   05/07</c:v>
                </c:pt>
                <c:pt idx="88">
                  <c:v>   06/07</c:v>
                </c:pt>
                <c:pt idx="89">
                  <c:v>   07/07</c:v>
                </c:pt>
                <c:pt idx="90">
                  <c:v>   08/07</c:v>
                </c:pt>
                <c:pt idx="91">
                  <c:v>   09/07</c:v>
                </c:pt>
                <c:pt idx="92">
                  <c:v>   10/07</c:v>
                </c:pt>
                <c:pt idx="93">
                  <c:v>   11/07</c:v>
                </c:pt>
                <c:pt idx="94">
                  <c:v>   12/07</c:v>
                </c:pt>
                <c:pt idx="95">
                  <c:v>   01/2008</c:v>
                </c:pt>
                <c:pt idx="96">
                  <c:v>   02/08</c:v>
                </c:pt>
                <c:pt idx="97">
                  <c:v>   03/08</c:v>
                </c:pt>
                <c:pt idx="98">
                  <c:v>   04/08</c:v>
                </c:pt>
                <c:pt idx="99">
                  <c:v>   05/08</c:v>
                </c:pt>
                <c:pt idx="100">
                  <c:v>   06/08</c:v>
                </c:pt>
                <c:pt idx="101">
                  <c:v>   07/08</c:v>
                </c:pt>
                <c:pt idx="102">
                  <c:v>   08/08</c:v>
                </c:pt>
                <c:pt idx="103">
                  <c:v>   09/08</c:v>
                </c:pt>
                <c:pt idx="104">
                  <c:v>   10/08</c:v>
                </c:pt>
                <c:pt idx="105">
                  <c:v>   11/08</c:v>
                </c:pt>
                <c:pt idx="106">
                  <c:v>   12/08</c:v>
                </c:pt>
                <c:pt idx="107">
                  <c:v>   01/2009</c:v>
                </c:pt>
                <c:pt idx="108">
                  <c:v>   02/09</c:v>
                </c:pt>
                <c:pt idx="109">
                  <c:v>   03/09</c:v>
                </c:pt>
                <c:pt idx="110">
                  <c:v>   04/09</c:v>
                </c:pt>
                <c:pt idx="111">
                  <c:v>   05/09</c:v>
                </c:pt>
                <c:pt idx="112">
                  <c:v>   06/09</c:v>
                </c:pt>
                <c:pt idx="113">
                  <c:v>   07/09</c:v>
                </c:pt>
                <c:pt idx="114">
                  <c:v>   08/09</c:v>
                </c:pt>
                <c:pt idx="115">
                  <c:v>   09/09</c:v>
                </c:pt>
                <c:pt idx="116">
                  <c:v>   10/09</c:v>
                </c:pt>
                <c:pt idx="117">
                  <c:v>   11/09</c:v>
                </c:pt>
                <c:pt idx="118">
                  <c:v>   12/09</c:v>
                </c:pt>
                <c:pt idx="119">
                  <c:v>   01/2010</c:v>
                </c:pt>
                <c:pt idx="120">
                  <c:v>   02/10</c:v>
                </c:pt>
                <c:pt idx="121">
                  <c:v>   03/10</c:v>
                </c:pt>
                <c:pt idx="122">
                  <c:v>   04/10</c:v>
                </c:pt>
                <c:pt idx="123">
                  <c:v>   05/10</c:v>
                </c:pt>
                <c:pt idx="124">
                  <c:v>   06/10</c:v>
                </c:pt>
                <c:pt idx="125">
                  <c:v>   07/10</c:v>
                </c:pt>
                <c:pt idx="126">
                  <c:v>   08/10</c:v>
                </c:pt>
                <c:pt idx="127">
                  <c:v>   09/10</c:v>
                </c:pt>
                <c:pt idx="128">
                  <c:v>   10/10</c:v>
                </c:pt>
                <c:pt idx="129">
                  <c:v>   11/10</c:v>
                </c:pt>
                <c:pt idx="130">
                  <c:v>   12/10</c:v>
                </c:pt>
                <c:pt idx="131">
                  <c:v>   01/2011</c:v>
                </c:pt>
                <c:pt idx="132">
                  <c:v>   02/11</c:v>
                </c:pt>
                <c:pt idx="133">
                  <c:v>   03/11</c:v>
                </c:pt>
                <c:pt idx="134">
                  <c:v>   04/11</c:v>
                </c:pt>
                <c:pt idx="135">
                  <c:v>   05/11</c:v>
                </c:pt>
                <c:pt idx="136">
                  <c:v>   06/11</c:v>
                </c:pt>
                <c:pt idx="137">
                  <c:v>   07/11</c:v>
                </c:pt>
                <c:pt idx="138">
                  <c:v>   08/11</c:v>
                </c:pt>
                <c:pt idx="139">
                  <c:v>   09/11</c:v>
                </c:pt>
                <c:pt idx="140">
                  <c:v>   10/11</c:v>
                </c:pt>
                <c:pt idx="141">
                  <c:v>   11/11</c:v>
                </c:pt>
                <c:pt idx="142">
                  <c:v>   12/11</c:v>
                </c:pt>
                <c:pt idx="143">
                  <c:v>   01/2012</c:v>
                </c:pt>
                <c:pt idx="144">
                  <c:v>   02/12</c:v>
                </c:pt>
                <c:pt idx="145">
                  <c:v>   03/12</c:v>
                </c:pt>
                <c:pt idx="146">
                  <c:v>   04/12</c:v>
                </c:pt>
                <c:pt idx="147">
                  <c:v>   05/12</c:v>
                </c:pt>
                <c:pt idx="148">
                  <c:v>   06/12</c:v>
                </c:pt>
                <c:pt idx="149">
                  <c:v>   07/12</c:v>
                </c:pt>
                <c:pt idx="150">
                  <c:v>   08/12</c:v>
                </c:pt>
                <c:pt idx="151">
                  <c:v>   09/12</c:v>
                </c:pt>
                <c:pt idx="152">
                  <c:v>   10/12</c:v>
                </c:pt>
                <c:pt idx="153">
                  <c:v>   11/12</c:v>
                </c:pt>
                <c:pt idx="154">
                  <c:v>   12/12</c:v>
                </c:pt>
                <c:pt idx="155">
                  <c:v>   01/13</c:v>
                </c:pt>
                <c:pt idx="156">
                  <c:v>   02/13</c:v>
                </c:pt>
                <c:pt idx="157">
                  <c:v>   03/13</c:v>
                </c:pt>
                <c:pt idx="158">
                  <c:v>   04/13</c:v>
                </c:pt>
                <c:pt idx="159">
                  <c:v>   05/13</c:v>
                </c:pt>
                <c:pt idx="160">
                  <c:v>   06/13</c:v>
                </c:pt>
                <c:pt idx="161">
                  <c:v>   07/13</c:v>
                </c:pt>
                <c:pt idx="162">
                  <c:v>   08/13</c:v>
                </c:pt>
                <c:pt idx="163">
                  <c:v>   09/13</c:v>
                </c:pt>
                <c:pt idx="164">
                  <c:v>   10/13</c:v>
                </c:pt>
                <c:pt idx="165">
                  <c:v>   11/13</c:v>
                </c:pt>
                <c:pt idx="166">
                  <c:v>   12/13</c:v>
                </c:pt>
                <c:pt idx="167">
                  <c:v>   01/2014</c:v>
                </c:pt>
                <c:pt idx="168">
                  <c:v>   02/14</c:v>
                </c:pt>
                <c:pt idx="169">
                  <c:v>   03/14</c:v>
                </c:pt>
                <c:pt idx="170">
                  <c:v>   04/14</c:v>
                </c:pt>
                <c:pt idx="171">
                  <c:v>   05/14</c:v>
                </c:pt>
                <c:pt idx="172">
                  <c:v>   06/14</c:v>
                </c:pt>
                <c:pt idx="173">
                  <c:v>   07/14</c:v>
                </c:pt>
                <c:pt idx="174">
                  <c:v>   08/14</c:v>
                </c:pt>
                <c:pt idx="175">
                  <c:v>   09/14</c:v>
                </c:pt>
                <c:pt idx="176">
                  <c:v>   10/14</c:v>
                </c:pt>
                <c:pt idx="177">
                  <c:v>   11/14</c:v>
                </c:pt>
                <c:pt idx="178">
                  <c:v>   12/14</c:v>
                </c:pt>
                <c:pt idx="179">
                  <c:v>   01/15</c:v>
                </c:pt>
                <c:pt idx="180">
                  <c:v>   02/15</c:v>
                </c:pt>
                <c:pt idx="181">
                  <c:v>   03/15</c:v>
                </c:pt>
                <c:pt idx="182">
                  <c:v>   04/15</c:v>
                </c:pt>
                <c:pt idx="183">
                  <c:v>   05/15 - </c:v>
                </c:pt>
                <c:pt idx="184">
                  <c:v>   06/15</c:v>
                </c:pt>
                <c:pt idx="185">
                  <c:v>   07/15</c:v>
                </c:pt>
                <c:pt idx="186">
                  <c:v>   08/15</c:v>
                </c:pt>
                <c:pt idx="187">
                  <c:v>   09/15</c:v>
                </c:pt>
                <c:pt idx="188">
                  <c:v>   10/15</c:v>
                </c:pt>
                <c:pt idx="189">
                  <c:v>   11/15</c:v>
                </c:pt>
                <c:pt idx="190">
                  <c:v>   12/15</c:v>
                </c:pt>
                <c:pt idx="191">
                  <c:v>   01/16</c:v>
                </c:pt>
                <c:pt idx="192">
                  <c:v>   02/16</c:v>
                </c:pt>
                <c:pt idx="193">
                  <c:v>   03/16</c:v>
                </c:pt>
                <c:pt idx="194">
                  <c:v>   04/16</c:v>
                </c:pt>
                <c:pt idx="195">
                  <c:v>   05/16</c:v>
                </c:pt>
                <c:pt idx="196">
                  <c:v>   06/16</c:v>
                </c:pt>
                <c:pt idx="197">
                  <c:v>   07/16</c:v>
                </c:pt>
                <c:pt idx="198">
                  <c:v>   08/16</c:v>
                </c:pt>
                <c:pt idx="199">
                  <c:v>   09/16</c:v>
                </c:pt>
                <c:pt idx="200">
                  <c:v>   10/16</c:v>
                </c:pt>
                <c:pt idx="201">
                  <c:v>   11/16</c:v>
                </c:pt>
                <c:pt idx="202">
                  <c:v>   12/16</c:v>
                </c:pt>
                <c:pt idx="203">
                  <c:v>   01/17</c:v>
                </c:pt>
                <c:pt idx="204">
                  <c:v>   02/17</c:v>
                </c:pt>
                <c:pt idx="205">
                  <c:v>   03/17</c:v>
                </c:pt>
                <c:pt idx="206">
                  <c:v>   04/17</c:v>
                </c:pt>
                <c:pt idx="207">
                  <c:v>   05/17</c:v>
                </c:pt>
                <c:pt idx="208">
                  <c:v>   06/17</c:v>
                </c:pt>
                <c:pt idx="209">
                  <c:v>   07/17</c:v>
                </c:pt>
                <c:pt idx="210">
                  <c:v>   08/17</c:v>
                </c:pt>
                <c:pt idx="211">
                  <c:v>   09/17</c:v>
                </c:pt>
                <c:pt idx="212">
                  <c:v>   10/17</c:v>
                </c:pt>
                <c:pt idx="213">
                  <c:v>   11/17</c:v>
                </c:pt>
                <c:pt idx="214">
                  <c:v>   12/17</c:v>
                </c:pt>
                <c:pt idx="215">
                  <c:v>   01/18</c:v>
                </c:pt>
                <c:pt idx="216">
                  <c:v>   02/18</c:v>
                </c:pt>
                <c:pt idx="217">
                  <c:v>   03/18</c:v>
                </c:pt>
                <c:pt idx="218">
                  <c:v>   04/18</c:v>
                </c:pt>
                <c:pt idx="219">
                  <c:v>   05/18</c:v>
                </c:pt>
                <c:pt idx="220">
                  <c:v>   06/18</c:v>
                </c:pt>
                <c:pt idx="221">
                  <c:v>   07/18</c:v>
                </c:pt>
                <c:pt idx="222">
                  <c:v>   08/18</c:v>
                </c:pt>
                <c:pt idx="223">
                  <c:v>   09/18</c:v>
                </c:pt>
                <c:pt idx="224">
                  <c:v>   10/18</c:v>
                </c:pt>
                <c:pt idx="225">
                  <c:v>   11/18</c:v>
                </c:pt>
                <c:pt idx="226">
                  <c:v>   12/18</c:v>
                </c:pt>
                <c:pt idx="227">
                  <c:v>   01/19</c:v>
                </c:pt>
                <c:pt idx="228">
                  <c:v>   02/19</c:v>
                </c:pt>
                <c:pt idx="229">
                  <c:v>   03/19</c:v>
                </c:pt>
                <c:pt idx="230">
                  <c:v>   04/19</c:v>
                </c:pt>
                <c:pt idx="231">
                  <c:v>   05/19</c:v>
                </c:pt>
                <c:pt idx="232">
                  <c:v>   06/19</c:v>
                </c:pt>
                <c:pt idx="233">
                  <c:v>   07/19</c:v>
                </c:pt>
                <c:pt idx="234">
                  <c:v>   08/19</c:v>
                </c:pt>
                <c:pt idx="235">
                  <c:v>   09/19</c:v>
                </c:pt>
                <c:pt idx="236">
                  <c:v>   10/19</c:v>
                </c:pt>
                <c:pt idx="237">
                  <c:v>   11/19</c:v>
                </c:pt>
                <c:pt idx="238">
                  <c:v>   12/19</c:v>
                </c:pt>
                <c:pt idx="239">
                  <c:v>   01/20</c:v>
                </c:pt>
                <c:pt idx="240">
                  <c:v>   02/20</c:v>
                </c:pt>
                <c:pt idx="241">
                  <c:v>   03/20</c:v>
                </c:pt>
                <c:pt idx="242">
                  <c:v>   04/20</c:v>
                </c:pt>
                <c:pt idx="243">
                  <c:v>   05/20</c:v>
                </c:pt>
                <c:pt idx="244">
                  <c:v>   06/20</c:v>
                </c:pt>
                <c:pt idx="245">
                  <c:v>   07/20</c:v>
                </c:pt>
                <c:pt idx="246">
                  <c:v>   08/20</c:v>
                </c:pt>
                <c:pt idx="247">
                  <c:v>   09/20</c:v>
                </c:pt>
                <c:pt idx="248">
                  <c:v>   10/20</c:v>
                </c:pt>
                <c:pt idx="249">
                  <c:v>   11/20</c:v>
                </c:pt>
                <c:pt idx="250">
                  <c:v>   12/20</c:v>
                </c:pt>
                <c:pt idx="251">
                  <c:v>   01/21</c:v>
                </c:pt>
                <c:pt idx="252">
                  <c:v>   02/21</c:v>
                </c:pt>
                <c:pt idx="253">
                  <c:v>   03/21</c:v>
                </c:pt>
                <c:pt idx="254">
                  <c:v>   04/21</c:v>
                </c:pt>
                <c:pt idx="255">
                  <c:v>   05/21</c:v>
                </c:pt>
                <c:pt idx="256">
                  <c:v>   06/21</c:v>
                </c:pt>
                <c:pt idx="257">
                  <c:v>   07/21</c:v>
                </c:pt>
                <c:pt idx="258">
                  <c:v>   08/21</c:v>
                </c:pt>
                <c:pt idx="259">
                  <c:v>   09/21</c:v>
                </c:pt>
                <c:pt idx="260">
                  <c:v>   10/21</c:v>
                </c:pt>
                <c:pt idx="261">
                  <c:v>   11/21</c:v>
                </c:pt>
                <c:pt idx="262">
                  <c:v>   12/21</c:v>
                </c:pt>
                <c:pt idx="263">
                  <c:v>   01/22</c:v>
                </c:pt>
                <c:pt idx="264">
                  <c:v>   02/22</c:v>
                </c:pt>
                <c:pt idx="265">
                  <c:v>   03/22</c:v>
                </c:pt>
                <c:pt idx="266">
                  <c:v>   04/22</c:v>
                </c:pt>
                <c:pt idx="267">
                  <c:v>   05/22</c:v>
                </c:pt>
                <c:pt idx="268">
                  <c:v>   06/22</c:v>
                </c:pt>
                <c:pt idx="269">
                  <c:v>   07/22</c:v>
                </c:pt>
                <c:pt idx="270">
                  <c:v>   08/22</c:v>
                </c:pt>
                <c:pt idx="271">
                  <c:v>   09/22</c:v>
                </c:pt>
                <c:pt idx="272">
                  <c:v>   10/22</c:v>
                </c:pt>
              </c:strCache>
            </c:strRef>
          </c:cat>
          <c:val>
            <c:numRef>
              <c:f>'Data for Graph 2'!$B$3:$B$275</c:f>
              <c:numCache>
                <c:ptCount val="273"/>
                <c:pt idx="0">
                  <c:v>1</c:v>
                </c:pt>
                <c:pt idx="1">
                  <c:v>1.0075</c:v>
                </c:pt>
                <c:pt idx="2">
                  <c:v>0.9868333333333333</c:v>
                </c:pt>
                <c:pt idx="3">
                  <c:v>0.9401666666666667</c:v>
                </c:pt>
                <c:pt idx="4">
                  <c:v>0.9608333333333333</c:v>
                </c:pt>
                <c:pt idx="5">
                  <c:v>0.9629999999999999</c:v>
                </c:pt>
                <c:pt idx="6">
                  <c:v>1.0003333333333333</c:v>
                </c:pt>
                <c:pt idx="7">
                  <c:v>0.9936666666666666</c:v>
                </c:pt>
                <c:pt idx="8">
                  <c:v>0.9796666666666666</c:v>
                </c:pt>
                <c:pt idx="9">
                  <c:v>0.9225</c:v>
                </c:pt>
                <c:pt idx="10">
                  <c:v>0.9521666666666666</c:v>
                </c:pt>
                <c:pt idx="11">
                  <c:v>0.9683333333333334</c:v>
                </c:pt>
                <c:pt idx="12">
                  <c:v>0.9163333333333334</c:v>
                </c:pt>
                <c:pt idx="13">
                  <c:v>0.8956666666666668</c:v>
                </c:pt>
                <c:pt idx="14">
                  <c:v>0.9473333333333335</c:v>
                </c:pt>
                <c:pt idx="15">
                  <c:v>0.9445341951369653</c:v>
                </c:pt>
                <c:pt idx="16">
                  <c:v>0.9263397968605726</c:v>
                </c:pt>
                <c:pt idx="17">
                  <c:v>0.9226659279778394</c:v>
                </c:pt>
                <c:pt idx="18">
                  <c:v>0.8854024007386889</c:v>
                </c:pt>
                <c:pt idx="19">
                  <c:v>0.8210222222222223</c:v>
                </c:pt>
                <c:pt idx="20">
                  <c:v>0.8409660818713451</c:v>
                </c:pt>
                <c:pt idx="21">
                  <c:v>0.888551431209603</c:v>
                </c:pt>
                <c:pt idx="22">
                  <c:v>0.9070957217605419</c:v>
                </c:pt>
                <c:pt idx="23">
                  <c:v>0.8696572483841183</c:v>
                </c:pt>
                <c:pt idx="24">
                  <c:v>0.8442900584795322</c:v>
                </c:pt>
                <c:pt idx="25">
                  <c:v>0.8546118805786397</c:v>
                </c:pt>
                <c:pt idx="26">
                  <c:v>0.7769357956294245</c:v>
                </c:pt>
                <c:pt idx="27">
                  <c:v>0.7528196882536932</c:v>
                </c:pt>
                <c:pt idx="28">
                  <c:v>0.6654176129075084</c:v>
                </c:pt>
                <c:pt idx="29">
                  <c:v>0.6131348004647756</c:v>
                </c:pt>
                <c:pt idx="30">
                  <c:v>0.6155112919394453</c:v>
                </c:pt>
                <c:pt idx="31">
                  <c:v>0.5574192781141866</c:v>
                </c:pt>
                <c:pt idx="32">
                  <c:v>0.6015163976997238</c:v>
                </c:pt>
                <c:pt idx="33">
                  <c:v>0.6147191281145553</c:v>
                </c:pt>
                <c:pt idx="34">
                  <c:v>0.577751482953027</c:v>
                </c:pt>
                <c:pt idx="35">
                  <c:v>0.5719422815705012</c:v>
                </c:pt>
                <c:pt idx="36">
                  <c:v>0.5627003702801192</c:v>
                </c:pt>
                <c:pt idx="37">
                  <c:v>0.5793358106028069</c:v>
                </c:pt>
                <c:pt idx="38">
                  <c:v>0.6289780769625735</c:v>
                </c:pt>
                <c:pt idx="39">
                  <c:v>0.6618345209776496</c:v>
                </c:pt>
                <c:pt idx="40">
                  <c:v>0.659066497050516</c:v>
                </c:pt>
                <c:pt idx="41">
                  <c:v>0.6895147602489858</c:v>
                </c:pt>
                <c:pt idx="42">
                  <c:v>0.6920059817834062</c:v>
                </c:pt>
                <c:pt idx="43">
                  <c:v>0.6776122573623113</c:v>
                </c:pt>
                <c:pt idx="44">
                  <c:v>0.7086141253462079</c:v>
                </c:pt>
                <c:pt idx="45">
                  <c:v>0.7243918617308696</c:v>
                </c:pt>
                <c:pt idx="46">
                  <c:v>0.738508783759251</c:v>
                </c:pt>
                <c:pt idx="47">
                  <c:v>0.7598225679981799</c:v>
                </c:pt>
                <c:pt idx="48">
                  <c:v>0.7614833823544601</c:v>
                </c:pt>
                <c:pt idx="49">
                  <c:v>0.7753235019901282</c:v>
                </c:pt>
                <c:pt idx="50">
                  <c:v>0.7473664603260787</c:v>
                </c:pt>
                <c:pt idx="51">
                  <c:v>0.7515184962167791</c:v>
                </c:pt>
                <c:pt idx="52">
                  <c:v>0.7544516641955665</c:v>
                </c:pt>
                <c:pt idx="53">
                  <c:v>0.7048358874399586</c:v>
                </c:pt>
                <c:pt idx="54">
                  <c:v>0.70571145997094</c:v>
                </c:pt>
                <c:pt idx="55">
                  <c:v>0.7258496281835102</c:v>
                </c:pt>
                <c:pt idx="56">
                  <c:v>0.7442366513341179</c:v>
                </c:pt>
                <c:pt idx="57">
                  <c:v>0.7833455577179499</c:v>
                </c:pt>
                <c:pt idx="58">
                  <c:v>0.8129282349647052</c:v>
                </c:pt>
                <c:pt idx="59">
                  <c:v>0.7976913803080494</c:v>
                </c:pt>
                <c:pt idx="60">
                  <c:v>0.8036438800407469</c:v>
                </c:pt>
                <c:pt idx="61">
                  <c:v>0.7782341881033316</c:v>
                </c:pt>
                <c:pt idx="62">
                  <c:v>0.7218145386748187</c:v>
                </c:pt>
                <c:pt idx="63">
                  <c:v>0.7727617364386703</c:v>
                </c:pt>
                <c:pt idx="64">
                  <c:v>0.7837081276141302</c:v>
                </c:pt>
                <c:pt idx="65">
                  <c:v>0.80512956563858</c:v>
                </c:pt>
                <c:pt idx="66">
                  <c:v>0.7836921465186948</c:v>
                </c:pt>
                <c:pt idx="67">
                  <c:v>0.7732554578619825</c:v>
                </c:pt>
                <c:pt idx="68">
                  <c:v>0.7603385281362911</c:v>
                </c:pt>
                <c:pt idx="69">
                  <c:v>0.8008372963940523</c:v>
                </c:pt>
                <c:pt idx="70">
                  <c:v>0.806655109962842</c:v>
                </c:pt>
                <c:pt idx="71">
                  <c:v>0.8475488981180366</c:v>
                </c:pt>
                <c:pt idx="72">
                  <c:v>0.8522496028284071</c:v>
                </c:pt>
                <c:pt idx="73">
                  <c:v>0.8623499936507357</c:v>
                </c:pt>
                <c:pt idx="74">
                  <c:v>0.8503506139763577</c:v>
                </c:pt>
                <c:pt idx="75">
                  <c:v>0.8254762514128953</c:v>
                </c:pt>
                <c:pt idx="76">
                  <c:v>0.8264726492604972</c:v>
                </c:pt>
                <c:pt idx="77">
                  <c:v>0.7716928572671231</c:v>
                </c:pt>
                <c:pt idx="78">
                  <c:v>0.7764217823590993</c:v>
                </c:pt>
                <c:pt idx="79">
                  <c:v>0.7735990210950703</c:v>
                </c:pt>
                <c:pt idx="80">
                  <c:v>0.7877483547385945</c:v>
                </c:pt>
                <c:pt idx="81">
                  <c:v>0.8143131835454326</c:v>
                </c:pt>
                <c:pt idx="82">
                  <c:v>0.8221138239133877</c:v>
                </c:pt>
                <c:pt idx="83">
                  <c:v>0.8180986170362965</c:v>
                </c:pt>
                <c:pt idx="84">
                  <c:v>0.8249961539700236</c:v>
                </c:pt>
                <c:pt idx="85">
                  <c:v>0.83421525979016</c:v>
                </c:pt>
                <c:pt idx="86">
                  <c:v>0.8520832700892292</c:v>
                </c:pt>
                <c:pt idx="87">
                  <c:v>0.8903486186288563</c:v>
                </c:pt>
                <c:pt idx="88">
                  <c:v>0.882891493162479</c:v>
                </c:pt>
                <c:pt idx="89">
                  <c:v>0.8583396564106966</c:v>
                </c:pt>
                <c:pt idx="90">
                  <c:v>0.868830706940856</c:v>
                </c:pt>
                <c:pt idx="91">
                  <c:v>0.8972194940168902</c:v>
                </c:pt>
                <c:pt idx="92">
                  <c:v>0.9667548944497305</c:v>
                </c:pt>
                <c:pt idx="93">
                  <c:v>0.9467852331453512</c:v>
                </c:pt>
                <c:pt idx="94">
                  <c:v>0.969467120012463</c:v>
                </c:pt>
                <c:pt idx="95">
                  <c:v>0.8581483574925782</c:v>
                </c:pt>
                <c:pt idx="96">
                  <c:v>0.8233356248714594</c:v>
                </c:pt>
                <c:pt idx="97">
                  <c:v>0.8116133860287962</c:v>
                </c:pt>
                <c:pt idx="98">
                  <c:v>0.850344964013386</c:v>
                </c:pt>
                <c:pt idx="99">
                  <c:v>0.8769630999116498</c:v>
                </c:pt>
                <c:pt idx="100">
                  <c:v>0.8292727999839861</c:v>
                </c:pt>
                <c:pt idx="101">
                  <c:v>0.7838100941698792</c:v>
                </c:pt>
                <c:pt idx="102">
                  <c:v>0.7844363086978852</c:v>
                </c:pt>
                <c:pt idx="103">
                  <c:v>0.73145214000116</c:v>
                </c:pt>
                <c:pt idx="104">
                  <c:v>0.6786157015797537</c:v>
                </c:pt>
                <c:pt idx="105">
                  <c:v>0.6450543915792297</c:v>
                </c:pt>
                <c:pt idx="106">
                  <c:v>0.645921373258191</c:v>
                </c:pt>
                <c:pt idx="107">
                  <c:v>0.607230004955409</c:v>
                </c:pt>
                <c:pt idx="108">
                  <c:v>0.5844652674959696</c:v>
                </c:pt>
                <c:pt idx="109">
                  <c:v>0.6215679543773152</c:v>
                </c:pt>
                <c:pt idx="110">
                  <c:v>0.6505085020500171</c:v>
                </c:pt>
                <c:pt idx="111">
                  <c:v>0.672376399089661</c:v>
                </c:pt>
                <c:pt idx="112">
                  <c:v>0.6684902847752654</c:v>
                </c:pt>
                <c:pt idx="113">
                  <c:v>0.6822083550341121</c:v>
                </c:pt>
                <c:pt idx="114">
                  <c:v>0.6884253665281779</c:v>
                </c:pt>
                <c:pt idx="115">
                  <c:v>0.687818808093212</c:v>
                </c:pt>
                <c:pt idx="116">
                  <c:v>0.6635970459345966</c:v>
                </c:pt>
                <c:pt idx="117">
                  <c:v>0.6902338411492035</c:v>
                </c:pt>
                <c:pt idx="118">
                  <c:v>0.7098725406037877</c:v>
                </c:pt>
                <c:pt idx="119">
                  <c:v>0.6832188571985179</c:v>
                </c:pt>
                <c:pt idx="120">
                  <c:v>0.7045337803978278</c:v>
                </c:pt>
                <c:pt idx="121">
                  <c:v>0.726412660209206</c:v>
                </c:pt>
                <c:pt idx="122">
                  <c:v>0.7476897538614313</c:v>
                </c:pt>
                <c:pt idx="123">
                  <c:v>0.6829955741103442</c:v>
                </c:pt>
                <c:pt idx="124">
                  <c:v>0.676159744394508</c:v>
                </c:pt>
                <c:pt idx="125">
                  <c:v>0.6997796216254064</c:v>
                </c:pt>
                <c:pt idx="126">
                  <c:v>0.683524986854959</c:v>
                </c:pt>
                <c:pt idx="127">
                  <c:v>0.7284646686531793</c:v>
                </c:pt>
                <c:pt idx="128">
                  <c:v>0.7419795205847055</c:v>
                </c:pt>
                <c:pt idx="129">
                  <c:v>0.7492259710881327</c:v>
                </c:pt>
                <c:pt idx="130">
                  <c:v>0.7722551344085927</c:v>
                </c:pt>
                <c:pt idx="131">
                  <c:v>0.806692171259191</c:v>
                </c:pt>
                <c:pt idx="132">
                  <c:v>0.8290936635634857</c:v>
                </c:pt>
                <c:pt idx="133">
                  <c:v>0.8370370598106149</c:v>
                </c:pt>
                <c:pt idx="134">
                  <c:v>0.8614125907794202</c:v>
                </c:pt>
                <c:pt idx="135">
                  <c:v>0.8559905395030323</c:v>
                </c:pt>
                <c:pt idx="136">
                  <c:v>0.8532057969280062</c:v>
                </c:pt>
                <c:pt idx="137">
                  <c:v>0.8276047724605549</c:v>
                </c:pt>
                <c:pt idx="138">
                  <c:v>0.7691626486891682</c:v>
                </c:pt>
                <c:pt idx="139">
                  <c:v>0.7637462522582867</c:v>
                </c:pt>
                <c:pt idx="140">
                  <c:v>0.7837346478855431</c:v>
                </c:pt>
                <c:pt idx="141">
                  <c:v>0.7688965512628543</c:v>
                </c:pt>
                <c:pt idx="142">
                  <c:v>0.7604522320843679</c:v>
                </c:pt>
                <c:pt idx="143">
                  <c:v>0.8394192372473941</c:v>
                </c:pt>
                <c:pt idx="144">
                  <c:v>0.8692240435885005</c:v>
                </c:pt>
                <c:pt idx="145">
                  <c:v>0.8872320483571183</c:v>
                </c:pt>
                <c:pt idx="146">
                  <c:v>0.8621987394155582</c:v>
                </c:pt>
                <c:pt idx="147">
                  <c:v>0.7993600665034292</c:v>
                </c:pt>
                <c:pt idx="148">
                  <c:v>0.8209329779690324</c:v>
                </c:pt>
                <c:pt idx="149">
                  <c:v>0.8281211423297667</c:v>
                </c:pt>
                <c:pt idx="150">
                  <c:v>0.8566665940347693</c:v>
                </c:pt>
                <c:pt idx="151">
                  <c:v>0.8718213678315858</c:v>
                </c:pt>
                <c:pt idx="152">
                  <c:v>0.839994335688656</c:v>
                </c:pt>
                <c:pt idx="153">
                  <c:v>0.8489419610977218</c:v>
                </c:pt>
                <c:pt idx="154">
                  <c:v>0.8438030771868674</c:v>
                </c:pt>
                <c:pt idx="155">
                  <c:v>0.8827324250975663</c:v>
                </c:pt>
                <c:pt idx="156">
                  <c:v>0.8750429445324978</c:v>
                </c:pt>
                <c:pt idx="157">
                  <c:v>0.8974153495689716</c:v>
                </c:pt>
                <c:pt idx="158">
                  <c:v>0.9050597184324252</c:v>
                </c:pt>
                <c:pt idx="159">
                  <c:v>0.9467898732095658</c:v>
                </c:pt>
                <c:pt idx="160">
                  <c:v>0.9200833473395927</c:v>
                </c:pt>
                <c:pt idx="161">
                  <c:v>0.97517041271861</c:v>
                </c:pt>
                <c:pt idx="162">
                  <c:v>0.9688915096739859</c:v>
                </c:pt>
                <c:pt idx="163">
                  <c:v>1.0001378765286302</c:v>
                </c:pt>
                <c:pt idx="164">
                  <c:v>1.043643058771344</c:v>
                </c:pt>
                <c:pt idx="165">
                  <c:v>1.0992265607989615</c:v>
                </c:pt>
                <c:pt idx="166">
                  <c:v>1.1139000530125942</c:v>
                </c:pt>
                <c:pt idx="167">
                  <c:v>1.101189025249976</c:v>
                </c:pt>
                <c:pt idx="168">
                  <c:v>1.1705777371235015</c:v>
                </c:pt>
                <c:pt idx="169">
                  <c:v>1.1631910641906216</c:v>
                </c:pt>
                <c:pt idx="170">
                  <c:v>1.1454452925845833</c:v>
                </c:pt>
                <c:pt idx="171">
                  <c:v>1.15905157470036</c:v>
                </c:pt>
                <c:pt idx="172">
                  <c:v>1.2005001842332685</c:v>
                </c:pt>
                <c:pt idx="173">
                  <c:v>1.166679217491838</c:v>
                </c:pt>
                <c:pt idx="174">
                  <c:v>1.234056350738241</c:v>
                </c:pt>
                <c:pt idx="175">
                  <c:v>1.1927036931196802</c:v>
                </c:pt>
                <c:pt idx="176">
                  <c:v>1.189622325755265</c:v>
                </c:pt>
                <c:pt idx="177">
                  <c:v>1.1869320731387851</c:v>
                </c:pt>
                <c:pt idx="178">
                  <c:v>1.1599504777106306</c:v>
                </c:pt>
                <c:pt idx="179">
                  <c:v>1.1338105064277597</c:v>
                </c:pt>
                <c:pt idx="180">
                  <c:v>1.2140912417732832</c:v>
                </c:pt>
                <c:pt idx="181">
                  <c:v>1.1874004467366</c:v>
                </c:pt>
                <c:pt idx="182">
                  <c:v>1.171097477054998</c:v>
                </c:pt>
                <c:pt idx="183">
                  <c:v>1.17254364587257</c:v>
                </c:pt>
                <c:pt idx="184">
                  <c:v>1.1345008266523826</c:v>
                </c:pt>
                <c:pt idx="185">
                  <c:v>1.174941144801857</c:v>
                </c:pt>
                <c:pt idx="186">
                  <c:v>1.0712815230171935</c:v>
                </c:pt>
                <c:pt idx="187">
                  <c:v>1.0309868970362588</c:v>
                </c:pt>
                <c:pt idx="188">
                  <c:v>1.0755196923464252</c:v>
                </c:pt>
                <c:pt idx="189">
                  <c:v>1.063844972891653</c:v>
                </c:pt>
                <c:pt idx="190">
                  <c:v>1.049045074856148</c:v>
                </c:pt>
                <c:pt idx="191">
                  <c:v>0.9785889533176411</c:v>
                </c:pt>
                <c:pt idx="192">
                  <c:v>0.9665842494874444</c:v>
                </c:pt>
                <c:pt idx="193">
                  <c:v>1.0148545164865939</c:v>
                </c:pt>
                <c:pt idx="194">
                  <c:v>1.0186241548741979</c:v>
                </c:pt>
                <c:pt idx="195">
                  <c:v>1.0318556255541622</c:v>
                </c:pt>
                <c:pt idx="196">
                  <c:v>1.0302452730888194</c:v>
                </c:pt>
                <c:pt idx="197">
                  <c:v>1.0890993828004274</c:v>
                </c:pt>
                <c:pt idx="198">
                  <c:v>1.087533718014995</c:v>
                </c:pt>
                <c:pt idx="199">
                  <c:v>1.086939961904324</c:v>
                </c:pt>
                <c:pt idx="200">
                  <c:v>1.0698189219937166</c:v>
                </c:pt>
                <c:pt idx="201">
                  <c:v>1.095988467455186</c:v>
                </c:pt>
                <c:pt idx="202">
                  <c:v>1.106605781405327</c:v>
                </c:pt>
                <c:pt idx="203">
                  <c:v>1.1380574444865088</c:v>
                </c:pt>
                <c:pt idx="204">
                  <c:v>1.1766487624276614</c:v>
                </c:pt>
                <c:pt idx="205">
                  <c:v>1.1846928833545631</c:v>
                </c:pt>
                <c:pt idx="206">
                  <c:v>1.2098885372463835</c:v>
                </c:pt>
                <c:pt idx="207">
                  <c:v>1.2246840683432583</c:v>
                </c:pt>
                <c:pt idx="208">
                  <c:v>1.2271220335095194</c:v>
                </c:pt>
                <c:pt idx="209">
                  <c:v>1.2670510423602865</c:v>
                </c:pt>
                <c:pt idx="210">
                  <c:v>1.29078032927224</c:v>
                </c:pt>
                <c:pt idx="211">
                  <c:v>1.2972865448779645</c:v>
                </c:pt>
                <c:pt idx="212">
                  <c:v>1.3522172955585736</c:v>
                </c:pt>
                <c:pt idx="213">
                  <c:v>1.4006308462886197</c:v>
                </c:pt>
                <c:pt idx="214">
                  <c:v>1.4072095280582104</c:v>
                </c:pt>
                <c:pt idx="215">
                  <c:v>1.47519112973048</c:v>
                </c:pt>
                <c:pt idx="216">
                  <c:v>1.438578884486519</c:v>
                </c:pt>
                <c:pt idx="217">
                  <c:v>1.396997875940114</c:v>
                </c:pt>
                <c:pt idx="218">
                  <c:v>1.4026768677293966</c:v>
                </c:pt>
                <c:pt idx="219">
                  <c:v>1.4598877035374889</c:v>
                </c:pt>
                <c:pt idx="220">
                  <c:v>1.4739741112851055</c:v>
                </c:pt>
                <c:pt idx="221">
                  <c:v>1.480363872370209</c:v>
                </c:pt>
                <c:pt idx="222">
                  <c:v>1.541795796194399</c:v>
                </c:pt>
                <c:pt idx="223">
                  <c:v>1.5427354400381266</c:v>
                </c:pt>
                <c:pt idx="224">
                  <c:v>1.3959843377914039</c:v>
                </c:pt>
                <c:pt idx="225">
                  <c:v>1.3809522673722392</c:v>
                </c:pt>
                <c:pt idx="226">
                  <c:v>1.269400451560266</c:v>
                </c:pt>
                <c:pt idx="227">
                  <c:v>1.3954850782511317</c:v>
                </c:pt>
                <c:pt idx="228">
                  <c:v>1.4478254524979226</c:v>
                </c:pt>
                <c:pt idx="229">
                  <c:v>1.5097802082673524</c:v>
                </c:pt>
                <c:pt idx="230">
                  <c:v>1.5697427635578751</c:v>
                </c:pt>
                <c:pt idx="231">
                  <c:v>1.4627022986871072</c:v>
                </c:pt>
                <c:pt idx="232">
                  <c:v>1.5658954246979166</c:v>
                </c:pt>
                <c:pt idx="233">
                  <c:v>1.5970204483409227</c:v>
                </c:pt>
                <c:pt idx="234">
                  <c:v>1.5830385852615272</c:v>
                </c:pt>
                <c:pt idx="235">
                  <c:v>1.580779452210379</c:v>
                </c:pt>
                <c:pt idx="236">
                  <c:v>1.6391249848652998</c:v>
                </c:pt>
                <c:pt idx="237">
                  <c:v>1.7058284522860316</c:v>
                </c:pt>
                <c:pt idx="238">
                  <c:v>1.7452257714808654</c:v>
                </c:pt>
                <c:pt idx="239">
                  <c:v>1.7725130722919027</c:v>
                </c:pt>
                <c:pt idx="240">
                  <c:v>1.6602413976906703</c:v>
                </c:pt>
                <c:pt idx="241">
                  <c:v>1.425614523156039</c:v>
                </c:pt>
                <c:pt idx="242">
                  <c:v>1.6439253512899068</c:v>
                </c:pt>
                <c:pt idx="243">
                  <c:v>1.8064940391293338</c:v>
                </c:pt>
                <c:pt idx="244">
                  <c:v>1.9334876541841122</c:v>
                </c:pt>
                <c:pt idx="245">
                  <c:v>2.0580318415650676</c:v>
                </c:pt>
                <c:pt idx="246">
                  <c:v>2.29083338129161</c:v>
                </c:pt>
                <c:pt idx="247">
                  <c:v>2.1531086552948597</c:v>
                </c:pt>
                <c:pt idx="248">
                  <c:v>2.131706271308397</c:v>
                </c:pt>
                <c:pt idx="249">
                  <c:v>2.327255668829493</c:v>
                </c:pt>
                <c:pt idx="250">
                  <c:v>2.4220089321887133</c:v>
                </c:pt>
                <c:pt idx="251">
                  <c:v>2.4634626171997303</c:v>
                </c:pt>
                <c:pt idx="252">
                  <c:v>2.575793558585918</c:v>
                </c:pt>
                <c:pt idx="253">
                  <c:v>2.5242300834103353</c:v>
                </c:pt>
                <c:pt idx="254">
                  <c:v>2.6705669255865847</c:v>
                </c:pt>
                <c:pt idx="255">
                  <c:v>2.6455771087012248</c:v>
                </c:pt>
                <c:pt idx="256">
                  <c:v>2.793553706937744</c:v>
                </c:pt>
                <c:pt idx="257">
                  <c:v>2.7555015827851896</c:v>
                </c:pt>
                <c:pt idx="258">
                  <c:v>2.779550240273687</c:v>
                </c:pt>
                <c:pt idx="259">
                  <c:v>2.657722495142906</c:v>
                </c:pt>
                <c:pt idx="260">
                  <c:v>2.80884497160084</c:v>
                </c:pt>
                <c:pt idx="261">
                  <c:v>2.73161361471023</c:v>
                </c:pt>
                <c:pt idx="262">
                  <c:v>2.7759504970563884</c:v>
                </c:pt>
                <c:pt idx="263">
                  <c:v>2.531706433010211</c:v>
                </c:pt>
                <c:pt idx="264">
                  <c:v>2.375100813266695</c:v>
                </c:pt>
                <c:pt idx="265">
                  <c:v>2.486217272409664</c:v>
                </c:pt>
                <c:pt idx="266">
                  <c:v>2.176392945264354</c:v>
                </c:pt>
                <c:pt idx="267">
                  <c:v>2.13950501347087</c:v>
                </c:pt>
                <c:pt idx="268">
                  <c:v>2.092054677515859</c:v>
                </c:pt>
                <c:pt idx="269">
                  <c:v>2.2468187951021963</c:v>
                </c:pt>
                <c:pt idx="270">
                  <c:v>2.1675110748964146</c:v>
                </c:pt>
                <c:pt idx="271">
                  <c:v>1.9916136754396991</c:v>
                </c:pt>
                <c:pt idx="272">
                  <c:v>2.018993012917655</c:v>
                </c:pt>
              </c:numCache>
            </c:numRef>
          </c:val>
          <c:smooth val="0"/>
        </c:ser>
        <c:ser>
          <c:idx val="1"/>
          <c:order val="1"/>
          <c:tx>
            <c:v>ESG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'Data for Graph 2'!$A$3:$A$275</c:f>
              <c:strCache>
                <c:ptCount val="273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  <c:pt idx="5">
                  <c:v>   07/00</c:v>
                </c:pt>
                <c:pt idx="6">
                  <c:v>   08/00</c:v>
                </c:pt>
                <c:pt idx="7">
                  <c:v>   09/00</c:v>
                </c:pt>
                <c:pt idx="8">
                  <c:v>   10/00</c:v>
                </c:pt>
                <c:pt idx="9">
                  <c:v>   11/00</c:v>
                </c:pt>
                <c:pt idx="10">
                  <c:v>   12/00</c:v>
                </c:pt>
                <c:pt idx="11">
                  <c:v>   01/2001</c:v>
                </c:pt>
                <c:pt idx="12">
                  <c:v>   02/01</c:v>
                </c:pt>
                <c:pt idx="13">
                  <c:v>   03/01</c:v>
                </c:pt>
                <c:pt idx="14">
                  <c:v>   04/01</c:v>
                </c:pt>
                <c:pt idx="15">
                  <c:v>   05/01</c:v>
                </c:pt>
                <c:pt idx="16">
                  <c:v>   06/01</c:v>
                </c:pt>
                <c:pt idx="17">
                  <c:v>   07/01</c:v>
                </c:pt>
                <c:pt idx="18">
                  <c:v>   08/01</c:v>
                </c:pt>
                <c:pt idx="19">
                  <c:v>   09/01</c:v>
                </c:pt>
                <c:pt idx="20">
                  <c:v>   10/01</c:v>
                </c:pt>
                <c:pt idx="21">
                  <c:v>   11/01</c:v>
                </c:pt>
                <c:pt idx="22">
                  <c:v>   12/01</c:v>
                </c:pt>
                <c:pt idx="23">
                  <c:v>   01/2002</c:v>
                </c:pt>
                <c:pt idx="24">
                  <c:v>   02/02</c:v>
                </c:pt>
                <c:pt idx="25">
                  <c:v>   03/02</c:v>
                </c:pt>
                <c:pt idx="26">
                  <c:v>   04/02</c:v>
                </c:pt>
                <c:pt idx="27">
                  <c:v>   05/02</c:v>
                </c:pt>
                <c:pt idx="28">
                  <c:v>   06/02</c:v>
                </c:pt>
                <c:pt idx="29">
                  <c:v>   07/02</c:v>
                </c:pt>
                <c:pt idx="30">
                  <c:v>   08/02</c:v>
                </c:pt>
                <c:pt idx="31">
                  <c:v>   09/02</c:v>
                </c:pt>
                <c:pt idx="32">
                  <c:v>   10/02</c:v>
                </c:pt>
                <c:pt idx="33">
                  <c:v>   11/02</c:v>
                </c:pt>
                <c:pt idx="34">
                  <c:v>   12/02</c:v>
                </c:pt>
                <c:pt idx="35">
                  <c:v>   01/2003</c:v>
                </c:pt>
                <c:pt idx="36">
                  <c:v>   02/03</c:v>
                </c:pt>
                <c:pt idx="37">
                  <c:v>   03/03</c:v>
                </c:pt>
                <c:pt idx="38">
                  <c:v>   04/03</c:v>
                </c:pt>
                <c:pt idx="39">
                  <c:v>   05/03</c:v>
                </c:pt>
                <c:pt idx="40">
                  <c:v>   06/03</c:v>
                </c:pt>
                <c:pt idx="41">
                  <c:v>   07/03</c:v>
                </c:pt>
                <c:pt idx="42">
                  <c:v>   08/03</c:v>
                </c:pt>
                <c:pt idx="43">
                  <c:v>   09/03</c:v>
                </c:pt>
                <c:pt idx="44">
                  <c:v>   10/03</c:v>
                </c:pt>
                <c:pt idx="45">
                  <c:v>   11/03</c:v>
                </c:pt>
                <c:pt idx="46">
                  <c:v>   12/03</c:v>
                </c:pt>
                <c:pt idx="47">
                  <c:v>   01/2004</c:v>
                </c:pt>
                <c:pt idx="48">
                  <c:v>   02/04</c:v>
                </c:pt>
                <c:pt idx="49">
                  <c:v>   03/04</c:v>
                </c:pt>
                <c:pt idx="50">
                  <c:v>   04/04</c:v>
                </c:pt>
                <c:pt idx="51">
                  <c:v>   05/04</c:v>
                </c:pt>
                <c:pt idx="52">
                  <c:v>   06/04</c:v>
                </c:pt>
                <c:pt idx="53">
                  <c:v>   07/04</c:v>
                </c:pt>
                <c:pt idx="54">
                  <c:v>   08/04</c:v>
                </c:pt>
                <c:pt idx="55">
                  <c:v>   09/04</c:v>
                </c:pt>
                <c:pt idx="56">
                  <c:v>   10/04</c:v>
                </c:pt>
                <c:pt idx="57">
                  <c:v>   11/04</c:v>
                </c:pt>
                <c:pt idx="58">
                  <c:v>   12/04</c:v>
                </c:pt>
                <c:pt idx="59">
                  <c:v>   01/2005</c:v>
                </c:pt>
                <c:pt idx="60">
                  <c:v>   02/05</c:v>
                </c:pt>
                <c:pt idx="61">
                  <c:v>   03/05</c:v>
                </c:pt>
                <c:pt idx="62">
                  <c:v>   04/05</c:v>
                </c:pt>
                <c:pt idx="63">
                  <c:v>   05/05</c:v>
                </c:pt>
                <c:pt idx="64">
                  <c:v>   06/05</c:v>
                </c:pt>
                <c:pt idx="65">
                  <c:v>   07/05</c:v>
                </c:pt>
                <c:pt idx="66">
                  <c:v>   08/05</c:v>
                </c:pt>
                <c:pt idx="67">
                  <c:v>   09/05</c:v>
                </c:pt>
                <c:pt idx="68">
                  <c:v>   10/05</c:v>
                </c:pt>
                <c:pt idx="69">
                  <c:v>   11/05</c:v>
                </c:pt>
                <c:pt idx="70">
                  <c:v>   12/05</c:v>
                </c:pt>
                <c:pt idx="71">
                  <c:v>   01/2006</c:v>
                </c:pt>
                <c:pt idx="72">
                  <c:v>   02/06</c:v>
                </c:pt>
                <c:pt idx="73">
                  <c:v>   03/06</c:v>
                </c:pt>
                <c:pt idx="74">
                  <c:v>   04/06</c:v>
                </c:pt>
                <c:pt idx="76">
                  <c:v>   06/06</c:v>
                </c:pt>
                <c:pt idx="77">
                  <c:v>   07/06</c:v>
                </c:pt>
                <c:pt idx="78">
                  <c:v>   08/06</c:v>
                </c:pt>
                <c:pt idx="79">
                  <c:v>   09/06</c:v>
                </c:pt>
                <c:pt idx="80">
                  <c:v>   10/06</c:v>
                </c:pt>
                <c:pt idx="81">
                  <c:v>   11/06</c:v>
                </c:pt>
                <c:pt idx="82">
                  <c:v>   12/06</c:v>
                </c:pt>
                <c:pt idx="83">
                  <c:v>   01/2007</c:v>
                </c:pt>
                <c:pt idx="84">
                  <c:v>   02/07</c:v>
                </c:pt>
                <c:pt idx="85">
                  <c:v>   03/07</c:v>
                </c:pt>
                <c:pt idx="86">
                  <c:v>   04/07</c:v>
                </c:pt>
                <c:pt idx="87">
                  <c:v>   05/07</c:v>
                </c:pt>
                <c:pt idx="88">
                  <c:v>   06/07</c:v>
                </c:pt>
                <c:pt idx="89">
                  <c:v>   07/07</c:v>
                </c:pt>
                <c:pt idx="90">
                  <c:v>   08/07</c:v>
                </c:pt>
                <c:pt idx="91">
                  <c:v>   09/07</c:v>
                </c:pt>
                <c:pt idx="92">
                  <c:v>   10/07</c:v>
                </c:pt>
                <c:pt idx="93">
                  <c:v>   11/07</c:v>
                </c:pt>
                <c:pt idx="94">
                  <c:v>   12/07</c:v>
                </c:pt>
                <c:pt idx="95">
                  <c:v>   01/2008</c:v>
                </c:pt>
                <c:pt idx="96">
                  <c:v>   02/08</c:v>
                </c:pt>
                <c:pt idx="97">
                  <c:v>   03/08</c:v>
                </c:pt>
                <c:pt idx="98">
                  <c:v>   04/08</c:v>
                </c:pt>
                <c:pt idx="99">
                  <c:v>   05/08</c:v>
                </c:pt>
                <c:pt idx="100">
                  <c:v>   06/08</c:v>
                </c:pt>
                <c:pt idx="101">
                  <c:v>   07/08</c:v>
                </c:pt>
                <c:pt idx="102">
                  <c:v>   08/08</c:v>
                </c:pt>
                <c:pt idx="103">
                  <c:v>   09/08</c:v>
                </c:pt>
                <c:pt idx="104">
                  <c:v>   10/08</c:v>
                </c:pt>
                <c:pt idx="105">
                  <c:v>   11/08</c:v>
                </c:pt>
                <c:pt idx="106">
                  <c:v>   12/08</c:v>
                </c:pt>
                <c:pt idx="107">
                  <c:v>   01/2009</c:v>
                </c:pt>
                <c:pt idx="108">
                  <c:v>   02/09</c:v>
                </c:pt>
                <c:pt idx="109">
                  <c:v>   03/09</c:v>
                </c:pt>
                <c:pt idx="110">
                  <c:v>   04/09</c:v>
                </c:pt>
                <c:pt idx="111">
                  <c:v>   05/09</c:v>
                </c:pt>
                <c:pt idx="112">
                  <c:v>   06/09</c:v>
                </c:pt>
                <c:pt idx="113">
                  <c:v>   07/09</c:v>
                </c:pt>
                <c:pt idx="114">
                  <c:v>   08/09</c:v>
                </c:pt>
                <c:pt idx="115">
                  <c:v>   09/09</c:v>
                </c:pt>
                <c:pt idx="116">
                  <c:v>   10/09</c:v>
                </c:pt>
                <c:pt idx="117">
                  <c:v>   11/09</c:v>
                </c:pt>
                <c:pt idx="118">
                  <c:v>   12/09</c:v>
                </c:pt>
                <c:pt idx="119">
                  <c:v>   01/2010</c:v>
                </c:pt>
                <c:pt idx="120">
                  <c:v>   02/10</c:v>
                </c:pt>
                <c:pt idx="121">
                  <c:v>   03/10</c:v>
                </c:pt>
                <c:pt idx="122">
                  <c:v>   04/10</c:v>
                </c:pt>
                <c:pt idx="123">
                  <c:v>   05/10</c:v>
                </c:pt>
                <c:pt idx="124">
                  <c:v>   06/10</c:v>
                </c:pt>
                <c:pt idx="125">
                  <c:v>   07/10</c:v>
                </c:pt>
                <c:pt idx="126">
                  <c:v>   08/10</c:v>
                </c:pt>
                <c:pt idx="127">
                  <c:v>   09/10</c:v>
                </c:pt>
                <c:pt idx="128">
                  <c:v>   10/10</c:v>
                </c:pt>
                <c:pt idx="129">
                  <c:v>   11/10</c:v>
                </c:pt>
                <c:pt idx="130">
                  <c:v>   12/10</c:v>
                </c:pt>
                <c:pt idx="131">
                  <c:v>   01/2011</c:v>
                </c:pt>
                <c:pt idx="132">
                  <c:v>   02/11</c:v>
                </c:pt>
                <c:pt idx="133">
                  <c:v>   03/11</c:v>
                </c:pt>
                <c:pt idx="134">
                  <c:v>   04/11</c:v>
                </c:pt>
                <c:pt idx="135">
                  <c:v>   05/11</c:v>
                </c:pt>
                <c:pt idx="136">
                  <c:v>   06/11</c:v>
                </c:pt>
                <c:pt idx="137">
                  <c:v>   07/11</c:v>
                </c:pt>
                <c:pt idx="138">
                  <c:v>   08/11</c:v>
                </c:pt>
                <c:pt idx="139">
                  <c:v>   09/11</c:v>
                </c:pt>
                <c:pt idx="140">
                  <c:v>   10/11</c:v>
                </c:pt>
                <c:pt idx="141">
                  <c:v>   11/11</c:v>
                </c:pt>
                <c:pt idx="142">
                  <c:v>   12/11</c:v>
                </c:pt>
                <c:pt idx="143">
                  <c:v>   01/2012</c:v>
                </c:pt>
                <c:pt idx="144">
                  <c:v>   02/12</c:v>
                </c:pt>
                <c:pt idx="145">
                  <c:v>   03/12</c:v>
                </c:pt>
                <c:pt idx="146">
                  <c:v>   04/12</c:v>
                </c:pt>
                <c:pt idx="147">
                  <c:v>   05/12</c:v>
                </c:pt>
                <c:pt idx="148">
                  <c:v>   06/12</c:v>
                </c:pt>
                <c:pt idx="149">
                  <c:v>   07/12</c:v>
                </c:pt>
                <c:pt idx="150">
                  <c:v>   08/12</c:v>
                </c:pt>
                <c:pt idx="151">
                  <c:v>   09/12</c:v>
                </c:pt>
                <c:pt idx="152">
                  <c:v>   10/12</c:v>
                </c:pt>
                <c:pt idx="153">
                  <c:v>   11/12</c:v>
                </c:pt>
                <c:pt idx="154">
                  <c:v>   12/12</c:v>
                </c:pt>
                <c:pt idx="155">
                  <c:v>   01/13</c:v>
                </c:pt>
                <c:pt idx="156">
                  <c:v>   02/13</c:v>
                </c:pt>
                <c:pt idx="157">
                  <c:v>   03/13</c:v>
                </c:pt>
                <c:pt idx="158">
                  <c:v>   04/13</c:v>
                </c:pt>
                <c:pt idx="159">
                  <c:v>   05/13</c:v>
                </c:pt>
                <c:pt idx="160">
                  <c:v>   06/13</c:v>
                </c:pt>
                <c:pt idx="161">
                  <c:v>   07/13</c:v>
                </c:pt>
                <c:pt idx="162">
                  <c:v>   08/13</c:v>
                </c:pt>
                <c:pt idx="163">
                  <c:v>   09/13</c:v>
                </c:pt>
                <c:pt idx="164">
                  <c:v>   10/13</c:v>
                </c:pt>
                <c:pt idx="165">
                  <c:v>   11/13</c:v>
                </c:pt>
                <c:pt idx="166">
                  <c:v>   12/13</c:v>
                </c:pt>
                <c:pt idx="167">
                  <c:v>   01/2014</c:v>
                </c:pt>
                <c:pt idx="168">
                  <c:v>   02/14</c:v>
                </c:pt>
                <c:pt idx="169">
                  <c:v>   03/14</c:v>
                </c:pt>
                <c:pt idx="170">
                  <c:v>   04/14</c:v>
                </c:pt>
                <c:pt idx="171">
                  <c:v>   05/14</c:v>
                </c:pt>
                <c:pt idx="172">
                  <c:v>   06/14</c:v>
                </c:pt>
                <c:pt idx="173">
                  <c:v>   07/14</c:v>
                </c:pt>
                <c:pt idx="174">
                  <c:v>   08/14</c:v>
                </c:pt>
                <c:pt idx="175">
                  <c:v>   09/14</c:v>
                </c:pt>
                <c:pt idx="176">
                  <c:v>   10/14</c:v>
                </c:pt>
                <c:pt idx="177">
                  <c:v>   11/14</c:v>
                </c:pt>
                <c:pt idx="178">
                  <c:v>   12/14</c:v>
                </c:pt>
                <c:pt idx="179">
                  <c:v>   01/15</c:v>
                </c:pt>
                <c:pt idx="180">
                  <c:v>   02/15</c:v>
                </c:pt>
                <c:pt idx="181">
                  <c:v>   03/15</c:v>
                </c:pt>
                <c:pt idx="182">
                  <c:v>   04/15</c:v>
                </c:pt>
                <c:pt idx="183">
                  <c:v>   05/15 - </c:v>
                </c:pt>
                <c:pt idx="184">
                  <c:v>   06/15</c:v>
                </c:pt>
                <c:pt idx="185">
                  <c:v>   07/15</c:v>
                </c:pt>
                <c:pt idx="186">
                  <c:v>   08/15</c:v>
                </c:pt>
                <c:pt idx="187">
                  <c:v>   09/15</c:v>
                </c:pt>
                <c:pt idx="188">
                  <c:v>   10/15</c:v>
                </c:pt>
                <c:pt idx="189">
                  <c:v>   11/15</c:v>
                </c:pt>
                <c:pt idx="190">
                  <c:v>   12/15</c:v>
                </c:pt>
                <c:pt idx="191">
                  <c:v>   01/16</c:v>
                </c:pt>
                <c:pt idx="192">
                  <c:v>   02/16</c:v>
                </c:pt>
                <c:pt idx="193">
                  <c:v>   03/16</c:v>
                </c:pt>
                <c:pt idx="194">
                  <c:v>   04/16</c:v>
                </c:pt>
                <c:pt idx="195">
                  <c:v>   05/16</c:v>
                </c:pt>
                <c:pt idx="196">
                  <c:v>   06/16</c:v>
                </c:pt>
                <c:pt idx="197">
                  <c:v>   07/16</c:v>
                </c:pt>
                <c:pt idx="198">
                  <c:v>   08/16</c:v>
                </c:pt>
                <c:pt idx="199">
                  <c:v>   09/16</c:v>
                </c:pt>
                <c:pt idx="200">
                  <c:v>   10/16</c:v>
                </c:pt>
                <c:pt idx="201">
                  <c:v>   11/16</c:v>
                </c:pt>
                <c:pt idx="202">
                  <c:v>   12/16</c:v>
                </c:pt>
                <c:pt idx="203">
                  <c:v>   01/17</c:v>
                </c:pt>
                <c:pt idx="204">
                  <c:v>   02/17</c:v>
                </c:pt>
                <c:pt idx="205">
                  <c:v>   03/17</c:v>
                </c:pt>
                <c:pt idx="206">
                  <c:v>   04/17</c:v>
                </c:pt>
                <c:pt idx="207">
                  <c:v>   05/17</c:v>
                </c:pt>
                <c:pt idx="208">
                  <c:v>   06/17</c:v>
                </c:pt>
                <c:pt idx="209">
                  <c:v>   07/17</c:v>
                </c:pt>
                <c:pt idx="210">
                  <c:v>   08/17</c:v>
                </c:pt>
                <c:pt idx="211">
                  <c:v>   09/17</c:v>
                </c:pt>
                <c:pt idx="212">
                  <c:v>   10/17</c:v>
                </c:pt>
                <c:pt idx="213">
                  <c:v>   11/17</c:v>
                </c:pt>
                <c:pt idx="214">
                  <c:v>   12/17</c:v>
                </c:pt>
                <c:pt idx="215">
                  <c:v>   01/18</c:v>
                </c:pt>
                <c:pt idx="216">
                  <c:v>   02/18</c:v>
                </c:pt>
                <c:pt idx="217">
                  <c:v>   03/18</c:v>
                </c:pt>
                <c:pt idx="218">
                  <c:v>   04/18</c:v>
                </c:pt>
                <c:pt idx="219">
                  <c:v>   05/18</c:v>
                </c:pt>
                <c:pt idx="220">
                  <c:v>   06/18</c:v>
                </c:pt>
                <c:pt idx="221">
                  <c:v>   07/18</c:v>
                </c:pt>
                <c:pt idx="222">
                  <c:v>   08/18</c:v>
                </c:pt>
                <c:pt idx="223">
                  <c:v>   09/18</c:v>
                </c:pt>
                <c:pt idx="224">
                  <c:v>   10/18</c:v>
                </c:pt>
                <c:pt idx="225">
                  <c:v>   11/18</c:v>
                </c:pt>
                <c:pt idx="226">
                  <c:v>   12/18</c:v>
                </c:pt>
                <c:pt idx="227">
                  <c:v>   01/19</c:v>
                </c:pt>
                <c:pt idx="228">
                  <c:v>   02/19</c:v>
                </c:pt>
                <c:pt idx="229">
                  <c:v>   03/19</c:v>
                </c:pt>
                <c:pt idx="230">
                  <c:v>   04/19</c:v>
                </c:pt>
                <c:pt idx="231">
                  <c:v>   05/19</c:v>
                </c:pt>
                <c:pt idx="232">
                  <c:v>   06/19</c:v>
                </c:pt>
                <c:pt idx="233">
                  <c:v>   07/19</c:v>
                </c:pt>
                <c:pt idx="234">
                  <c:v>   08/19</c:v>
                </c:pt>
                <c:pt idx="235">
                  <c:v>   09/19</c:v>
                </c:pt>
                <c:pt idx="236">
                  <c:v>   10/19</c:v>
                </c:pt>
                <c:pt idx="237">
                  <c:v>   11/19</c:v>
                </c:pt>
                <c:pt idx="238">
                  <c:v>   12/19</c:v>
                </c:pt>
                <c:pt idx="239">
                  <c:v>   01/20</c:v>
                </c:pt>
                <c:pt idx="240">
                  <c:v>   02/20</c:v>
                </c:pt>
                <c:pt idx="241">
                  <c:v>   03/20</c:v>
                </c:pt>
                <c:pt idx="242">
                  <c:v>   04/20</c:v>
                </c:pt>
                <c:pt idx="243">
                  <c:v>   05/20</c:v>
                </c:pt>
                <c:pt idx="244">
                  <c:v>   06/20</c:v>
                </c:pt>
                <c:pt idx="245">
                  <c:v>   07/20</c:v>
                </c:pt>
                <c:pt idx="246">
                  <c:v>   08/20</c:v>
                </c:pt>
                <c:pt idx="247">
                  <c:v>   09/20</c:v>
                </c:pt>
                <c:pt idx="248">
                  <c:v>   10/20</c:v>
                </c:pt>
                <c:pt idx="249">
                  <c:v>   11/20</c:v>
                </c:pt>
                <c:pt idx="250">
                  <c:v>   12/20</c:v>
                </c:pt>
                <c:pt idx="251">
                  <c:v>   01/21</c:v>
                </c:pt>
                <c:pt idx="252">
                  <c:v>   02/21</c:v>
                </c:pt>
                <c:pt idx="253">
                  <c:v>   03/21</c:v>
                </c:pt>
                <c:pt idx="254">
                  <c:v>   04/21</c:v>
                </c:pt>
                <c:pt idx="255">
                  <c:v>   05/21</c:v>
                </c:pt>
                <c:pt idx="256">
                  <c:v>   06/21</c:v>
                </c:pt>
                <c:pt idx="257">
                  <c:v>   07/21</c:v>
                </c:pt>
                <c:pt idx="258">
                  <c:v>   08/21</c:v>
                </c:pt>
                <c:pt idx="259">
                  <c:v>   09/21</c:v>
                </c:pt>
                <c:pt idx="260">
                  <c:v>   10/21</c:v>
                </c:pt>
                <c:pt idx="261">
                  <c:v>   11/21</c:v>
                </c:pt>
                <c:pt idx="262">
                  <c:v>   12/21</c:v>
                </c:pt>
                <c:pt idx="263">
                  <c:v>   01/22</c:v>
                </c:pt>
                <c:pt idx="264">
                  <c:v>   02/22</c:v>
                </c:pt>
                <c:pt idx="265">
                  <c:v>   03/22</c:v>
                </c:pt>
                <c:pt idx="266">
                  <c:v>   04/22</c:v>
                </c:pt>
                <c:pt idx="267">
                  <c:v>   05/22</c:v>
                </c:pt>
                <c:pt idx="268">
                  <c:v>   06/22</c:v>
                </c:pt>
                <c:pt idx="269">
                  <c:v>   07/22</c:v>
                </c:pt>
                <c:pt idx="270">
                  <c:v>   08/22</c:v>
                </c:pt>
                <c:pt idx="271">
                  <c:v>   09/22</c:v>
                </c:pt>
                <c:pt idx="272">
                  <c:v>   10/22</c:v>
                </c:pt>
              </c:strCache>
            </c:strRef>
          </c:cat>
          <c:val>
            <c:numRef>
              <c:f>'Data for Graph 2'!$C$3:$C$275</c:f>
              <c:numCache>
                <c:ptCount val="273"/>
                <c:pt idx="0">
                  <c:v>1</c:v>
                </c:pt>
                <c:pt idx="1">
                  <c:v>0.9913333333333333</c:v>
                </c:pt>
                <c:pt idx="2">
                  <c:v>0.9643333333333334</c:v>
                </c:pt>
                <c:pt idx="3">
                  <c:v>0.9303333333333333</c:v>
                </c:pt>
                <c:pt idx="4">
                  <c:v>0.9550000000000001</c:v>
                </c:pt>
                <c:pt idx="5">
                  <c:v>0.9730000000000002</c:v>
                </c:pt>
                <c:pt idx="6">
                  <c:v>1.061666666666667</c:v>
                </c:pt>
                <c:pt idx="7">
                  <c:v>1.0760000000000005</c:v>
                </c:pt>
                <c:pt idx="8">
                  <c:v>1.1181666666666672</c:v>
                </c:pt>
                <c:pt idx="9">
                  <c:v>1.052833333333334</c:v>
                </c:pt>
                <c:pt idx="10">
                  <c:v>1.0730000000000006</c:v>
                </c:pt>
                <c:pt idx="11">
                  <c:v>1.121833333333334</c:v>
                </c:pt>
                <c:pt idx="12">
                  <c:v>1.0905000000000005</c:v>
                </c:pt>
                <c:pt idx="13">
                  <c:v>1.0578333333333338</c:v>
                </c:pt>
                <c:pt idx="14">
                  <c:v>1.1135000000000006</c:v>
                </c:pt>
                <c:pt idx="15">
                  <c:v>1.1351961030798245</c:v>
                </c:pt>
                <c:pt idx="16">
                  <c:v>1.1633660433689508</c:v>
                </c:pt>
                <c:pt idx="17">
                  <c:v>1.1633660433689508</c:v>
                </c:pt>
                <c:pt idx="18">
                  <c:v>1.149893463230673</c:v>
                </c:pt>
                <c:pt idx="19">
                  <c:v>1.0484116907605283</c:v>
                </c:pt>
                <c:pt idx="20">
                  <c:v>1.0949533312382154</c:v>
                </c:pt>
                <c:pt idx="21">
                  <c:v>1.1393953488372097</c:v>
                </c:pt>
                <c:pt idx="22">
                  <c:v>1.177538497800126</c:v>
                </c:pt>
                <c:pt idx="23">
                  <c:v>1.18208768070396</c:v>
                </c:pt>
                <c:pt idx="24">
                  <c:v>1.17211447203017</c:v>
                </c:pt>
                <c:pt idx="25">
                  <c:v>1.2167314582023887</c:v>
                </c:pt>
                <c:pt idx="26">
                  <c:v>1.242101901319925</c:v>
                </c:pt>
                <c:pt idx="27">
                  <c:v>1.2270100529016665</c:v>
                </c:pt>
                <c:pt idx="28">
                  <c:v>1.1949902186975048</c:v>
                </c:pt>
                <c:pt idx="29">
                  <c:v>1.0839214188018187</c:v>
                </c:pt>
                <c:pt idx="30">
                  <c:v>1.1206941971456608</c:v>
                </c:pt>
                <c:pt idx="31">
                  <c:v>1.0794186296168586</c:v>
                </c:pt>
                <c:pt idx="32">
                  <c:v>1.0729146007941384</c:v>
                </c:pt>
                <c:pt idx="33">
                  <c:v>1.1081864494096605</c:v>
                </c:pt>
                <c:pt idx="34">
                  <c:v>1.080669404390459</c:v>
                </c:pt>
                <c:pt idx="35">
                  <c:v>1.0476489503674171</c:v>
                </c:pt>
                <c:pt idx="36">
                  <c:v>1.0326396530842163</c:v>
                </c:pt>
                <c:pt idx="37">
                  <c:v>1.0659102620619783</c:v>
                </c:pt>
                <c:pt idx="38">
                  <c:v>1.1294496205608617</c:v>
                </c:pt>
                <c:pt idx="39">
                  <c:v>1.2266038952708298</c:v>
                </c:pt>
                <c:pt idx="40">
                  <c:v>1.2449819502085349</c:v>
                </c:pt>
                <c:pt idx="41">
                  <c:v>1.285413671071486</c:v>
                </c:pt>
                <c:pt idx="42">
                  <c:v>1.3324089829836177</c:v>
                </c:pt>
                <c:pt idx="43">
                  <c:v>1.308517511564601</c:v>
                </c:pt>
                <c:pt idx="44">
                  <c:v>1.3870180605127984</c:v>
                </c:pt>
                <c:pt idx="45">
                  <c:v>1.4615804548314875</c:v>
                </c:pt>
                <c:pt idx="46">
                  <c:v>1.539030829211816</c:v>
                </c:pt>
                <c:pt idx="47">
                  <c:v>1.5665979116183737</c:v>
                </c:pt>
                <c:pt idx="48">
                  <c:v>1.5616095824209966</c:v>
                </c:pt>
                <c:pt idx="49">
                  <c:v>1.597578061370505</c:v>
                </c:pt>
                <c:pt idx="50">
                  <c:v>1.5516329240262423</c:v>
                </c:pt>
                <c:pt idx="51">
                  <c:v>1.5834007047042755</c:v>
                </c:pt>
                <c:pt idx="52">
                  <c:v>1.657638813441884</c:v>
                </c:pt>
                <c:pt idx="53">
                  <c:v>1.5616269577281616</c:v>
                </c:pt>
                <c:pt idx="54">
                  <c:v>1.5309363429427816</c:v>
                </c:pt>
                <c:pt idx="55">
                  <c:v>1.570474702531154</c:v>
                </c:pt>
                <c:pt idx="56">
                  <c:v>1.5724101467068086</c:v>
                </c:pt>
                <c:pt idx="57">
                  <c:v>1.705097010597035</c:v>
                </c:pt>
                <c:pt idx="58">
                  <c:v>1.796540112088112</c:v>
                </c:pt>
                <c:pt idx="59">
                  <c:v>1.7220288924645486</c:v>
                </c:pt>
                <c:pt idx="60">
                  <c:v>1.7722199725878796</c:v>
                </c:pt>
                <c:pt idx="61">
                  <c:v>1.8148779588328308</c:v>
                </c:pt>
                <c:pt idx="62">
                  <c:v>1.7235902622935688</c:v>
                </c:pt>
                <c:pt idx="63">
                  <c:v>1.7768856593603088</c:v>
                </c:pt>
                <c:pt idx="64">
                  <c:v>1.857955180506319</c:v>
                </c:pt>
                <c:pt idx="65">
                  <c:v>1.9705168832532418</c:v>
                </c:pt>
                <c:pt idx="66">
                  <c:v>1.9639585937738433</c:v>
                </c:pt>
                <c:pt idx="67">
                  <c:v>1.9742348630327273</c:v>
                </c:pt>
                <c:pt idx="68">
                  <c:v>1.924107381114797</c:v>
                </c:pt>
                <c:pt idx="69">
                  <c:v>2.0838712839023175</c:v>
                </c:pt>
                <c:pt idx="70">
                  <c:v>2.1013961541222033</c:v>
                </c:pt>
                <c:pt idx="71">
                  <c:v>2.2563491001473164</c:v>
                </c:pt>
                <c:pt idx="72">
                  <c:v>2.2723827591859</c:v>
                </c:pt>
                <c:pt idx="73">
                  <c:v>2.3312362540132967</c:v>
                </c:pt>
                <c:pt idx="74">
                  <c:v>2.3498096327023963</c:v>
                </c:pt>
                <c:pt idx="75">
                  <c:v>2.2399556764840907</c:v>
                </c:pt>
                <c:pt idx="76">
                  <c:v>2.236747906443099</c:v>
                </c:pt>
                <c:pt idx="77">
                  <c:v>2.203324848545886</c:v>
                </c:pt>
                <c:pt idx="78">
                  <c:v>2.2088380166985777</c:v>
                </c:pt>
                <c:pt idx="79">
                  <c:v>2.2453654908831986</c:v>
                </c:pt>
                <c:pt idx="80">
                  <c:v>2.310390666504668</c:v>
                </c:pt>
                <c:pt idx="81">
                  <c:v>2.362384148522782</c:v>
                </c:pt>
                <c:pt idx="82">
                  <c:v>2.36765527175513</c:v>
                </c:pt>
                <c:pt idx="83">
                  <c:v>2.423916932508012</c:v>
                </c:pt>
                <c:pt idx="84">
                  <c:v>2.4302046198659344</c:v>
                </c:pt>
                <c:pt idx="85">
                  <c:v>2.431863596895167</c:v>
                </c:pt>
                <c:pt idx="86">
                  <c:v>2.4286573810459586</c:v>
                </c:pt>
                <c:pt idx="87">
                  <c:v>2.485374902526721</c:v>
                </c:pt>
                <c:pt idx="88">
                  <c:v>2.504823341908304</c:v>
                </c:pt>
                <c:pt idx="89">
                  <c:v>2.414911676500298</c:v>
                </c:pt>
                <c:pt idx="90">
                  <c:v>2.3346947162854206</c:v>
                </c:pt>
                <c:pt idx="91">
                  <c:v>2.4317106569056315</c:v>
                </c:pt>
                <c:pt idx="92">
                  <c:v>2.4738335929713924</c:v>
                </c:pt>
                <c:pt idx="93">
                  <c:v>2.2141863980217105</c:v>
                </c:pt>
                <c:pt idx="94">
                  <c:v>2.1369092195514927</c:v>
                </c:pt>
                <c:pt idx="95">
                  <c:v>2.0700688066204713</c:v>
                </c:pt>
                <c:pt idx="96">
                  <c:v>2.0546554360821054</c:v>
                </c:pt>
                <c:pt idx="97">
                  <c:v>2.0185851032811706</c:v>
                </c:pt>
                <c:pt idx="98">
                  <c:v>2.105613863168314</c:v>
                </c:pt>
                <c:pt idx="99">
                  <c:v>2.08470285560114</c:v>
                </c:pt>
                <c:pt idx="100">
                  <c:v>1.9276542225963378</c:v>
                </c:pt>
                <c:pt idx="101">
                  <c:v>1.8896519363159452</c:v>
                </c:pt>
                <c:pt idx="102">
                  <c:v>1.9315005426674523</c:v>
                </c:pt>
                <c:pt idx="103">
                  <c:v>1.8207656245621222</c:v>
                </c:pt>
                <c:pt idx="104">
                  <c:v>1.584331942680447</c:v>
                </c:pt>
                <c:pt idx="105">
                  <c:v>1.4124273212374943</c:v>
                </c:pt>
                <c:pt idx="106">
                  <c:v>1.4516585016251675</c:v>
                </c:pt>
                <c:pt idx="107">
                  <c:v>1.3337151025118001</c:v>
                </c:pt>
                <c:pt idx="108">
                  <c:v>1.2877389332668778</c:v>
                </c:pt>
                <c:pt idx="109">
                  <c:v>1.3106539146537308</c:v>
                </c:pt>
                <c:pt idx="110">
                  <c:v>1.3797215260497149</c:v>
                </c:pt>
                <c:pt idx="111">
                  <c:v>1.4916118339877311</c:v>
                </c:pt>
                <c:pt idx="112">
                  <c:v>1.47083784596038</c:v>
                </c:pt>
                <c:pt idx="113">
                  <c:v>1.4863376926911593</c:v>
                </c:pt>
                <c:pt idx="114">
                  <c:v>1.464085091492837</c:v>
                </c:pt>
                <c:pt idx="115">
                  <c:v>1.4819454395532683</c:v>
                </c:pt>
                <c:pt idx="116">
                  <c:v>1.419331760124658</c:v>
                </c:pt>
                <c:pt idx="117">
                  <c:v>1.456850892752169</c:v>
                </c:pt>
                <c:pt idx="118">
                  <c:v>1.5603109880205221</c:v>
                </c:pt>
                <c:pt idx="119">
                  <c:v>1.49254523763323</c:v>
                </c:pt>
                <c:pt idx="120">
                  <c:v>1.5512591234901072</c:v>
                </c:pt>
                <c:pt idx="121">
                  <c:v>1.6406910056810833</c:v>
                </c:pt>
                <c:pt idx="122">
                  <c:v>1.7464053901647907</c:v>
                </c:pt>
                <c:pt idx="123">
                  <c:v>1.6357663273512177</c:v>
                </c:pt>
                <c:pt idx="124">
                  <c:v>1.6133046068704802</c:v>
                </c:pt>
                <c:pt idx="125">
                  <c:v>1.6660253977974195</c:v>
                </c:pt>
                <c:pt idx="126">
                  <c:v>1.6298314455842695</c:v>
                </c:pt>
                <c:pt idx="127">
                  <c:v>1.7400792180761329</c:v>
                </c:pt>
                <c:pt idx="128">
                  <c:v>1.7767729489784136</c:v>
                </c:pt>
                <c:pt idx="129">
                  <c:v>1.8534308026709898</c:v>
                </c:pt>
                <c:pt idx="130">
                  <c:v>1.949292611192651</c:v>
                </c:pt>
                <c:pt idx="131">
                  <c:v>1.9331931371457438</c:v>
                </c:pt>
                <c:pt idx="132">
                  <c:v>2.04618473633505</c:v>
                </c:pt>
                <c:pt idx="133">
                  <c:v>2.0874666291271766</c:v>
                </c:pt>
                <c:pt idx="134">
                  <c:v>2.151844858279974</c:v>
                </c:pt>
                <c:pt idx="135">
                  <c:v>2.0640101265456323</c:v>
                </c:pt>
                <c:pt idx="136">
                  <c:v>2.013208596038719</c:v>
                </c:pt>
                <c:pt idx="137">
                  <c:v>1.950053888026319</c:v>
                </c:pt>
                <c:pt idx="138">
                  <c:v>1.8269252669148337</c:v>
                </c:pt>
                <c:pt idx="139">
                  <c:v>1.6373967820973758</c:v>
                </c:pt>
                <c:pt idx="140">
                  <c:v>1.8461514895675204</c:v>
                </c:pt>
                <c:pt idx="141">
                  <c:v>1.7834862506580833</c:v>
                </c:pt>
                <c:pt idx="142">
                  <c:v>1.8162638968078253</c:v>
                </c:pt>
                <c:pt idx="143">
                  <c:v>1.9682689644072164</c:v>
                </c:pt>
                <c:pt idx="144">
                  <c:v>2.041158810470457</c:v>
                </c:pt>
                <c:pt idx="145">
                  <c:v>2.1212041044600305</c:v>
                </c:pt>
                <c:pt idx="146">
                  <c:v>2.0687955799715745</c:v>
                </c:pt>
                <c:pt idx="147">
                  <c:v>1.8857400399947202</c:v>
                </c:pt>
                <c:pt idx="148">
                  <c:v>1.948431135329273</c:v>
                </c:pt>
                <c:pt idx="149">
                  <c:v>1.9345185275139847</c:v>
                </c:pt>
                <c:pt idx="150">
                  <c:v>1.9826739537491445</c:v>
                </c:pt>
                <c:pt idx="151">
                  <c:v>1.9942687197048221</c:v>
                </c:pt>
                <c:pt idx="152">
                  <c:v>1.9782926975957045</c:v>
                </c:pt>
                <c:pt idx="153">
                  <c:v>1.9906081452069375</c:v>
                </c:pt>
                <c:pt idx="154">
                  <c:v>2.02550155562369</c:v>
                </c:pt>
                <c:pt idx="155">
                  <c:v>2.1194492710555797</c:v>
                </c:pt>
                <c:pt idx="156">
                  <c:v>2.0959884611928623</c:v>
                </c:pt>
                <c:pt idx="157">
                  <c:v>2.131558448558784</c:v>
                </c:pt>
                <c:pt idx="158">
                  <c:v>2.120472464588325</c:v>
                </c:pt>
                <c:pt idx="159">
                  <c:v>2.2275616056737912</c:v>
                </c:pt>
                <c:pt idx="160">
                  <c:v>2.2042317867895</c:v>
                </c:pt>
                <c:pt idx="161">
                  <c:v>2.347551306705072</c:v>
                </c:pt>
                <c:pt idx="162">
                  <c:v>2.270971932968208</c:v>
                </c:pt>
                <c:pt idx="163">
                  <c:v>2.4285471364776945</c:v>
                </c:pt>
                <c:pt idx="164">
                  <c:v>2.5040021446647374</c:v>
                </c:pt>
                <c:pt idx="165">
                  <c:v>2.569089327236241</c:v>
                </c:pt>
                <c:pt idx="166">
                  <c:v>2.6233218152558218</c:v>
                </c:pt>
                <c:pt idx="167">
                  <c:v>2.503892414153489</c:v>
                </c:pt>
                <c:pt idx="168">
                  <c:v>2.613139384286982</c:v>
                </c:pt>
                <c:pt idx="169">
                  <c:v>2.6532759678968256</c:v>
                </c:pt>
                <c:pt idx="170">
                  <c:v>2.542741963079715</c:v>
                </c:pt>
                <c:pt idx="171">
                  <c:v>2.586169749304339</c:v>
                </c:pt>
                <c:pt idx="172">
                  <c:v>2.709567592871122</c:v>
                </c:pt>
                <c:pt idx="173">
                  <c:v>2.5455536367891938</c:v>
                </c:pt>
                <c:pt idx="174">
                  <c:v>2.5925212861711118</c:v>
                </c:pt>
                <c:pt idx="175">
                  <c:v>2.4582987340292894</c:v>
                </c:pt>
                <c:pt idx="176">
                  <c:v>2.6252009670112586</c:v>
                </c:pt>
                <c:pt idx="177">
                  <c:v>2.5943237421397076</c:v>
                </c:pt>
                <c:pt idx="178">
                  <c:v>2.6472172947163983</c:v>
                </c:pt>
                <c:pt idx="179">
                  <c:v>2.5597311303492205</c:v>
                </c:pt>
                <c:pt idx="180">
                  <c:v>2.703454482509649</c:v>
                </c:pt>
                <c:pt idx="181">
                  <c:v>2.7214751692777455</c:v>
                </c:pt>
                <c:pt idx="182">
                  <c:v>2.6664192698410076</c:v>
                </c:pt>
                <c:pt idx="183">
                  <c:v>2.674760028826797</c:v>
                </c:pt>
                <c:pt idx="184">
                  <c:v>2.6701024389002375</c:v>
                </c:pt>
                <c:pt idx="185">
                  <c:v>2.6400920514781485</c:v>
                </c:pt>
                <c:pt idx="186">
                  <c:v>2.5755041347571352</c:v>
                </c:pt>
                <c:pt idx="187">
                  <c:v>2.479382395696433</c:v>
                </c:pt>
                <c:pt idx="188">
                  <c:v>2.5740046764799023</c:v>
                </c:pt>
                <c:pt idx="189">
                  <c:v>2.6597930957120823</c:v>
                </c:pt>
                <c:pt idx="190">
                  <c:v>2.5142731517439785</c:v>
                </c:pt>
                <c:pt idx="191">
                  <c:v>2.377361688907716</c:v>
                </c:pt>
                <c:pt idx="192">
                  <c:v>2.4062631822199076</c:v>
                </c:pt>
                <c:pt idx="193">
                  <c:v>2.568523055336654</c:v>
                </c:pt>
                <c:pt idx="194">
                  <c:v>2.6134970599551086</c:v>
                </c:pt>
                <c:pt idx="195">
                  <c:v>2.6800888358971595</c:v>
                </c:pt>
                <c:pt idx="196">
                  <c:v>2.7251761065365043</c:v>
                </c:pt>
                <c:pt idx="197">
                  <c:v>2.859661555405848</c:v>
                </c:pt>
                <c:pt idx="198">
                  <c:v>2.907853205174232</c:v>
                </c:pt>
                <c:pt idx="199">
                  <c:v>2.9166959105495383</c:v>
                </c:pt>
                <c:pt idx="200">
                  <c:v>2.805475170337314</c:v>
                </c:pt>
                <c:pt idx="201">
                  <c:v>3.057312159452375</c:v>
                </c:pt>
                <c:pt idx="202">
                  <c:v>3.183889274922428</c:v>
                </c:pt>
                <c:pt idx="203">
                  <c:v>3.1674484594475905</c:v>
                </c:pt>
                <c:pt idx="204">
                  <c:v>3.1883393857713873</c:v>
                </c:pt>
                <c:pt idx="205">
                  <c:v>3.1662805883708227</c:v>
                </c:pt>
                <c:pt idx="206">
                  <c:v>3.2064833175043153</c:v>
                </c:pt>
                <c:pt idx="207">
                  <c:v>3.1502979642104543</c:v>
                </c:pt>
                <c:pt idx="208">
                  <c:v>3.23489854427578</c:v>
                </c:pt>
                <c:pt idx="209">
                  <c:v>3.2364858408116346</c:v>
                </c:pt>
                <c:pt idx="210">
                  <c:v>3.1370573803669393</c:v>
                </c:pt>
                <c:pt idx="211">
                  <c:v>3.3481441716037517</c:v>
                </c:pt>
                <c:pt idx="212">
                  <c:v>3.4013885337446164</c:v>
                </c:pt>
                <c:pt idx="213">
                  <c:v>3.54091429226905</c:v>
                </c:pt>
                <c:pt idx="214">
                  <c:v>3.5204102069684753</c:v>
                </c:pt>
                <c:pt idx="215">
                  <c:v>3.5839157266931556</c:v>
                </c:pt>
                <c:pt idx="216">
                  <c:v>3.452511232844098</c:v>
                </c:pt>
                <c:pt idx="217">
                  <c:v>3.527534755073549</c:v>
                </c:pt>
                <c:pt idx="218">
                  <c:v>3.527534755073549</c:v>
                </c:pt>
                <c:pt idx="219">
                  <c:v>3.527534755073549</c:v>
                </c:pt>
                <c:pt idx="220">
                  <c:v>3.527534755073549</c:v>
                </c:pt>
                <c:pt idx="221">
                  <c:v>3.527534755073549</c:v>
                </c:pt>
                <c:pt idx="222">
                  <c:v>3.527534755073549</c:v>
                </c:pt>
                <c:pt idx="223">
                  <c:v>3.527534755073549</c:v>
                </c:pt>
                <c:pt idx="224">
                  <c:v>3.527534755073549</c:v>
                </c:pt>
                <c:pt idx="225">
                  <c:v>3.527534755073549</c:v>
                </c:pt>
                <c:pt idx="226">
                  <c:v>3.527534755073549</c:v>
                </c:pt>
                <c:pt idx="227">
                  <c:v>3.527534755073549</c:v>
                </c:pt>
                <c:pt idx="228">
                  <c:v>3.527534755073549</c:v>
                </c:pt>
                <c:pt idx="229">
                  <c:v>3.546156812618997</c:v>
                </c:pt>
                <c:pt idx="230">
                  <c:v>3.676233951205383</c:v>
                </c:pt>
                <c:pt idx="231">
                  <c:v>3.50535350010279</c:v>
                </c:pt>
                <c:pt idx="232">
                  <c:v>3.7269402137636622</c:v>
                </c:pt>
                <c:pt idx="233">
                  <c:v>3.7949046228035614</c:v>
                </c:pt>
                <c:pt idx="234">
                  <c:v>3.7885328370133706</c:v>
                </c:pt>
                <c:pt idx="235">
                  <c:v>3.7702786290868016</c:v>
                </c:pt>
                <c:pt idx="236">
                  <c:v>3.8365269871257026</c:v>
                </c:pt>
                <c:pt idx="237">
                  <c:v>3.9387152032994837</c:v>
                </c:pt>
                <c:pt idx="238">
                  <c:v>4.012295827386462</c:v>
                </c:pt>
                <c:pt idx="239">
                  <c:v>4.0561172361446864</c:v>
                </c:pt>
                <c:pt idx="240">
                  <c:v>3.7238435915253913</c:v>
                </c:pt>
                <c:pt idx="241">
                  <c:v>3.087446739657697</c:v>
                </c:pt>
                <c:pt idx="242">
                  <c:v>3.4914975928411685</c:v>
                </c:pt>
                <c:pt idx="243">
                  <c:v>3.6448798428541536</c:v>
                </c:pt>
                <c:pt idx="244">
                  <c:v>3.747761672920366</c:v>
                </c:pt>
                <c:pt idx="245">
                  <c:v>3.929117890000547</c:v>
                </c:pt>
                <c:pt idx="246">
                  <c:v>4.25808407958163</c:v>
                </c:pt>
                <c:pt idx="247">
                  <c:v>4.107672677148143</c:v>
                </c:pt>
                <c:pt idx="248">
                  <c:v>4.042450871991027</c:v>
                </c:pt>
                <c:pt idx="249">
                  <c:v>4.4727582880001995</c:v>
                </c:pt>
                <c:pt idx="250">
                  <c:v>4.5854053999878035</c:v>
                </c:pt>
                <c:pt idx="251">
                  <c:v>4.4884978411356515</c:v>
                </c:pt>
                <c:pt idx="252">
                  <c:v>4.549431684541351</c:v>
                </c:pt>
                <c:pt idx="253">
                  <c:v>4.668479548137372</c:v>
                </c:pt>
                <c:pt idx="254">
                  <c:v>4.8106848871761985</c:v>
                </c:pt>
                <c:pt idx="255">
                  <c:v>4.877356288317683</c:v>
                </c:pt>
                <c:pt idx="256">
                  <c:v>5.0383041899528145</c:v>
                </c:pt>
                <c:pt idx="257">
                  <c:v>5.158103465801815</c:v>
                </c:pt>
                <c:pt idx="258">
                  <c:v>5.247603599495241</c:v>
                </c:pt>
                <c:pt idx="259">
                  <c:v>4.976807137303289</c:v>
                </c:pt>
                <c:pt idx="260">
                  <c:v>5.304652724972258</c:v>
                </c:pt>
                <c:pt idx="261">
                  <c:v>5.169772456574879</c:v>
                </c:pt>
                <c:pt idx="262">
                  <c:v>5.2284656234740705</c:v>
                </c:pt>
                <c:pt idx="263">
                  <c:v>4.824162139185292</c:v>
                </c:pt>
                <c:pt idx="264">
                  <c:v>4.617156612328438</c:v>
                </c:pt>
                <c:pt idx="265">
                  <c:v>4.736387067607916</c:v>
                </c:pt>
                <c:pt idx="266">
                  <c:v>4.349288876459597</c:v>
                </c:pt>
                <c:pt idx="267">
                  <c:v>4.3088138595837515</c:v>
                </c:pt>
                <c:pt idx="268">
                  <c:v>4.0111522260783135</c:v>
                </c:pt>
                <c:pt idx="269">
                  <c:v>4.399914771146316</c:v>
                </c:pt>
                <c:pt idx="270">
                  <c:v>4.233346458957747</c:v>
                </c:pt>
                <c:pt idx="271">
                  <c:v>3.868242562712193</c:v>
                </c:pt>
                <c:pt idx="272">
                  <c:v>4.147691847630705</c:v>
                </c:pt>
              </c:numCache>
            </c:numRef>
          </c:val>
          <c:smooth val="0"/>
        </c:ser>
        <c:ser>
          <c:idx val="2"/>
          <c:order val="2"/>
          <c:tx>
            <c:v>Value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'Data for Graph 2'!$A$3:$A$275</c:f>
              <c:strCache>
                <c:ptCount val="273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  <c:pt idx="5">
                  <c:v>   07/00</c:v>
                </c:pt>
                <c:pt idx="6">
                  <c:v>   08/00</c:v>
                </c:pt>
                <c:pt idx="7">
                  <c:v>   09/00</c:v>
                </c:pt>
                <c:pt idx="8">
                  <c:v>   10/00</c:v>
                </c:pt>
                <c:pt idx="9">
                  <c:v>   11/00</c:v>
                </c:pt>
                <c:pt idx="10">
                  <c:v>   12/00</c:v>
                </c:pt>
                <c:pt idx="11">
                  <c:v>   01/2001</c:v>
                </c:pt>
                <c:pt idx="12">
                  <c:v>   02/01</c:v>
                </c:pt>
                <c:pt idx="13">
                  <c:v>   03/01</c:v>
                </c:pt>
                <c:pt idx="14">
                  <c:v>   04/01</c:v>
                </c:pt>
                <c:pt idx="15">
                  <c:v>   05/01</c:v>
                </c:pt>
                <c:pt idx="16">
                  <c:v>   06/01</c:v>
                </c:pt>
                <c:pt idx="17">
                  <c:v>   07/01</c:v>
                </c:pt>
                <c:pt idx="18">
                  <c:v>   08/01</c:v>
                </c:pt>
                <c:pt idx="19">
                  <c:v>   09/01</c:v>
                </c:pt>
                <c:pt idx="20">
                  <c:v>   10/01</c:v>
                </c:pt>
                <c:pt idx="21">
                  <c:v>   11/01</c:v>
                </c:pt>
                <c:pt idx="22">
                  <c:v>   12/01</c:v>
                </c:pt>
                <c:pt idx="23">
                  <c:v>   01/2002</c:v>
                </c:pt>
                <c:pt idx="24">
                  <c:v>   02/02</c:v>
                </c:pt>
                <c:pt idx="25">
                  <c:v>   03/02</c:v>
                </c:pt>
                <c:pt idx="26">
                  <c:v>   04/02</c:v>
                </c:pt>
                <c:pt idx="27">
                  <c:v>   05/02</c:v>
                </c:pt>
                <c:pt idx="28">
                  <c:v>   06/02</c:v>
                </c:pt>
                <c:pt idx="29">
                  <c:v>   07/02</c:v>
                </c:pt>
                <c:pt idx="30">
                  <c:v>   08/02</c:v>
                </c:pt>
                <c:pt idx="31">
                  <c:v>   09/02</c:v>
                </c:pt>
                <c:pt idx="32">
                  <c:v>   10/02</c:v>
                </c:pt>
                <c:pt idx="33">
                  <c:v>   11/02</c:v>
                </c:pt>
                <c:pt idx="34">
                  <c:v>   12/02</c:v>
                </c:pt>
                <c:pt idx="35">
                  <c:v>   01/2003</c:v>
                </c:pt>
                <c:pt idx="36">
                  <c:v>   02/03</c:v>
                </c:pt>
                <c:pt idx="37">
                  <c:v>   03/03</c:v>
                </c:pt>
                <c:pt idx="38">
                  <c:v>   04/03</c:v>
                </c:pt>
                <c:pt idx="39">
                  <c:v>   05/03</c:v>
                </c:pt>
                <c:pt idx="40">
                  <c:v>   06/03</c:v>
                </c:pt>
                <c:pt idx="41">
                  <c:v>   07/03</c:v>
                </c:pt>
                <c:pt idx="42">
                  <c:v>   08/03</c:v>
                </c:pt>
                <c:pt idx="43">
                  <c:v>   09/03</c:v>
                </c:pt>
                <c:pt idx="44">
                  <c:v>   10/03</c:v>
                </c:pt>
                <c:pt idx="45">
                  <c:v>   11/03</c:v>
                </c:pt>
                <c:pt idx="46">
                  <c:v>   12/03</c:v>
                </c:pt>
                <c:pt idx="47">
                  <c:v>   01/2004</c:v>
                </c:pt>
                <c:pt idx="48">
                  <c:v>   02/04</c:v>
                </c:pt>
                <c:pt idx="49">
                  <c:v>   03/04</c:v>
                </c:pt>
                <c:pt idx="50">
                  <c:v>   04/04</c:v>
                </c:pt>
                <c:pt idx="51">
                  <c:v>   05/04</c:v>
                </c:pt>
                <c:pt idx="52">
                  <c:v>   06/04</c:v>
                </c:pt>
                <c:pt idx="53">
                  <c:v>   07/04</c:v>
                </c:pt>
                <c:pt idx="54">
                  <c:v>   08/04</c:v>
                </c:pt>
                <c:pt idx="55">
                  <c:v>   09/04</c:v>
                </c:pt>
                <c:pt idx="56">
                  <c:v>   10/04</c:v>
                </c:pt>
                <c:pt idx="57">
                  <c:v>   11/04</c:v>
                </c:pt>
                <c:pt idx="58">
                  <c:v>   12/04</c:v>
                </c:pt>
                <c:pt idx="59">
                  <c:v>   01/2005</c:v>
                </c:pt>
                <c:pt idx="60">
                  <c:v>   02/05</c:v>
                </c:pt>
                <c:pt idx="61">
                  <c:v>   03/05</c:v>
                </c:pt>
                <c:pt idx="62">
                  <c:v>   04/05</c:v>
                </c:pt>
                <c:pt idx="63">
                  <c:v>   05/05</c:v>
                </c:pt>
                <c:pt idx="64">
                  <c:v>   06/05</c:v>
                </c:pt>
                <c:pt idx="65">
                  <c:v>   07/05</c:v>
                </c:pt>
                <c:pt idx="66">
                  <c:v>   08/05</c:v>
                </c:pt>
                <c:pt idx="67">
                  <c:v>   09/05</c:v>
                </c:pt>
                <c:pt idx="68">
                  <c:v>   10/05</c:v>
                </c:pt>
                <c:pt idx="69">
                  <c:v>   11/05</c:v>
                </c:pt>
                <c:pt idx="70">
                  <c:v>   12/05</c:v>
                </c:pt>
                <c:pt idx="71">
                  <c:v>   01/2006</c:v>
                </c:pt>
                <c:pt idx="72">
                  <c:v>   02/06</c:v>
                </c:pt>
                <c:pt idx="73">
                  <c:v>   03/06</c:v>
                </c:pt>
                <c:pt idx="74">
                  <c:v>   04/06</c:v>
                </c:pt>
                <c:pt idx="76">
                  <c:v>   06/06</c:v>
                </c:pt>
                <c:pt idx="77">
                  <c:v>   07/06</c:v>
                </c:pt>
                <c:pt idx="78">
                  <c:v>   08/06</c:v>
                </c:pt>
                <c:pt idx="79">
                  <c:v>   09/06</c:v>
                </c:pt>
                <c:pt idx="80">
                  <c:v>   10/06</c:v>
                </c:pt>
                <c:pt idx="81">
                  <c:v>   11/06</c:v>
                </c:pt>
                <c:pt idx="82">
                  <c:v>   12/06</c:v>
                </c:pt>
                <c:pt idx="83">
                  <c:v>   01/2007</c:v>
                </c:pt>
                <c:pt idx="84">
                  <c:v>   02/07</c:v>
                </c:pt>
                <c:pt idx="85">
                  <c:v>   03/07</c:v>
                </c:pt>
                <c:pt idx="86">
                  <c:v>   04/07</c:v>
                </c:pt>
                <c:pt idx="87">
                  <c:v>   05/07</c:v>
                </c:pt>
                <c:pt idx="88">
                  <c:v>   06/07</c:v>
                </c:pt>
                <c:pt idx="89">
                  <c:v>   07/07</c:v>
                </c:pt>
                <c:pt idx="90">
                  <c:v>   08/07</c:v>
                </c:pt>
                <c:pt idx="91">
                  <c:v>   09/07</c:v>
                </c:pt>
                <c:pt idx="92">
                  <c:v>   10/07</c:v>
                </c:pt>
                <c:pt idx="93">
                  <c:v>   11/07</c:v>
                </c:pt>
                <c:pt idx="94">
                  <c:v>   12/07</c:v>
                </c:pt>
                <c:pt idx="95">
                  <c:v>   01/2008</c:v>
                </c:pt>
                <c:pt idx="96">
                  <c:v>   02/08</c:v>
                </c:pt>
                <c:pt idx="97">
                  <c:v>   03/08</c:v>
                </c:pt>
                <c:pt idx="98">
                  <c:v>   04/08</c:v>
                </c:pt>
                <c:pt idx="99">
                  <c:v>   05/08</c:v>
                </c:pt>
                <c:pt idx="100">
                  <c:v>   06/08</c:v>
                </c:pt>
                <c:pt idx="101">
                  <c:v>   07/08</c:v>
                </c:pt>
                <c:pt idx="102">
                  <c:v>   08/08</c:v>
                </c:pt>
                <c:pt idx="103">
                  <c:v>   09/08</c:v>
                </c:pt>
                <c:pt idx="104">
                  <c:v>   10/08</c:v>
                </c:pt>
                <c:pt idx="105">
                  <c:v>   11/08</c:v>
                </c:pt>
                <c:pt idx="106">
                  <c:v>   12/08</c:v>
                </c:pt>
                <c:pt idx="107">
                  <c:v>   01/2009</c:v>
                </c:pt>
                <c:pt idx="108">
                  <c:v>   02/09</c:v>
                </c:pt>
                <c:pt idx="109">
                  <c:v>   03/09</c:v>
                </c:pt>
                <c:pt idx="110">
                  <c:v>   04/09</c:v>
                </c:pt>
                <c:pt idx="111">
                  <c:v>   05/09</c:v>
                </c:pt>
                <c:pt idx="112">
                  <c:v>   06/09</c:v>
                </c:pt>
                <c:pt idx="113">
                  <c:v>   07/09</c:v>
                </c:pt>
                <c:pt idx="114">
                  <c:v>   08/09</c:v>
                </c:pt>
                <c:pt idx="115">
                  <c:v>   09/09</c:v>
                </c:pt>
                <c:pt idx="116">
                  <c:v>   10/09</c:v>
                </c:pt>
                <c:pt idx="117">
                  <c:v>   11/09</c:v>
                </c:pt>
                <c:pt idx="118">
                  <c:v>   12/09</c:v>
                </c:pt>
                <c:pt idx="119">
                  <c:v>   01/2010</c:v>
                </c:pt>
                <c:pt idx="120">
                  <c:v>   02/10</c:v>
                </c:pt>
                <c:pt idx="121">
                  <c:v>   03/10</c:v>
                </c:pt>
                <c:pt idx="122">
                  <c:v>   04/10</c:v>
                </c:pt>
                <c:pt idx="123">
                  <c:v>   05/10</c:v>
                </c:pt>
                <c:pt idx="124">
                  <c:v>   06/10</c:v>
                </c:pt>
                <c:pt idx="125">
                  <c:v>   07/10</c:v>
                </c:pt>
                <c:pt idx="126">
                  <c:v>   08/10</c:v>
                </c:pt>
                <c:pt idx="127">
                  <c:v>   09/10</c:v>
                </c:pt>
                <c:pt idx="128">
                  <c:v>   10/10</c:v>
                </c:pt>
                <c:pt idx="129">
                  <c:v>   11/10</c:v>
                </c:pt>
                <c:pt idx="130">
                  <c:v>   12/10</c:v>
                </c:pt>
                <c:pt idx="131">
                  <c:v>   01/2011</c:v>
                </c:pt>
                <c:pt idx="132">
                  <c:v>   02/11</c:v>
                </c:pt>
                <c:pt idx="133">
                  <c:v>   03/11</c:v>
                </c:pt>
                <c:pt idx="134">
                  <c:v>   04/11</c:v>
                </c:pt>
                <c:pt idx="135">
                  <c:v>   05/11</c:v>
                </c:pt>
                <c:pt idx="136">
                  <c:v>   06/11</c:v>
                </c:pt>
                <c:pt idx="137">
                  <c:v>   07/11</c:v>
                </c:pt>
                <c:pt idx="138">
                  <c:v>   08/11</c:v>
                </c:pt>
                <c:pt idx="139">
                  <c:v>   09/11</c:v>
                </c:pt>
                <c:pt idx="140">
                  <c:v>   10/11</c:v>
                </c:pt>
                <c:pt idx="141">
                  <c:v>   11/11</c:v>
                </c:pt>
                <c:pt idx="142">
                  <c:v>   12/11</c:v>
                </c:pt>
                <c:pt idx="143">
                  <c:v>   01/2012</c:v>
                </c:pt>
                <c:pt idx="144">
                  <c:v>   02/12</c:v>
                </c:pt>
                <c:pt idx="145">
                  <c:v>   03/12</c:v>
                </c:pt>
                <c:pt idx="146">
                  <c:v>   04/12</c:v>
                </c:pt>
                <c:pt idx="147">
                  <c:v>   05/12</c:v>
                </c:pt>
                <c:pt idx="148">
                  <c:v>   06/12</c:v>
                </c:pt>
                <c:pt idx="149">
                  <c:v>   07/12</c:v>
                </c:pt>
                <c:pt idx="150">
                  <c:v>   08/12</c:v>
                </c:pt>
                <c:pt idx="151">
                  <c:v>   09/12</c:v>
                </c:pt>
                <c:pt idx="152">
                  <c:v>   10/12</c:v>
                </c:pt>
                <c:pt idx="153">
                  <c:v>   11/12</c:v>
                </c:pt>
                <c:pt idx="154">
                  <c:v>   12/12</c:v>
                </c:pt>
                <c:pt idx="155">
                  <c:v>   01/13</c:v>
                </c:pt>
                <c:pt idx="156">
                  <c:v>   02/13</c:v>
                </c:pt>
                <c:pt idx="157">
                  <c:v>   03/13</c:v>
                </c:pt>
                <c:pt idx="158">
                  <c:v>   04/13</c:v>
                </c:pt>
                <c:pt idx="159">
                  <c:v>   05/13</c:v>
                </c:pt>
                <c:pt idx="160">
                  <c:v>   06/13</c:v>
                </c:pt>
                <c:pt idx="161">
                  <c:v>   07/13</c:v>
                </c:pt>
                <c:pt idx="162">
                  <c:v>   08/13</c:v>
                </c:pt>
                <c:pt idx="163">
                  <c:v>   09/13</c:v>
                </c:pt>
                <c:pt idx="164">
                  <c:v>   10/13</c:v>
                </c:pt>
                <c:pt idx="165">
                  <c:v>   11/13</c:v>
                </c:pt>
                <c:pt idx="166">
                  <c:v>   12/13</c:v>
                </c:pt>
                <c:pt idx="167">
                  <c:v>   01/2014</c:v>
                </c:pt>
                <c:pt idx="168">
                  <c:v>   02/14</c:v>
                </c:pt>
                <c:pt idx="169">
                  <c:v>   03/14</c:v>
                </c:pt>
                <c:pt idx="170">
                  <c:v>   04/14</c:v>
                </c:pt>
                <c:pt idx="171">
                  <c:v>   05/14</c:v>
                </c:pt>
                <c:pt idx="172">
                  <c:v>   06/14</c:v>
                </c:pt>
                <c:pt idx="173">
                  <c:v>   07/14</c:v>
                </c:pt>
                <c:pt idx="174">
                  <c:v>   08/14</c:v>
                </c:pt>
                <c:pt idx="175">
                  <c:v>   09/14</c:v>
                </c:pt>
                <c:pt idx="176">
                  <c:v>   10/14</c:v>
                </c:pt>
                <c:pt idx="177">
                  <c:v>   11/14</c:v>
                </c:pt>
                <c:pt idx="178">
                  <c:v>   12/14</c:v>
                </c:pt>
                <c:pt idx="179">
                  <c:v>   01/15</c:v>
                </c:pt>
                <c:pt idx="180">
                  <c:v>   02/15</c:v>
                </c:pt>
                <c:pt idx="181">
                  <c:v>   03/15</c:v>
                </c:pt>
                <c:pt idx="182">
                  <c:v>   04/15</c:v>
                </c:pt>
                <c:pt idx="183">
                  <c:v>   05/15 - </c:v>
                </c:pt>
                <c:pt idx="184">
                  <c:v>   06/15</c:v>
                </c:pt>
                <c:pt idx="185">
                  <c:v>   07/15</c:v>
                </c:pt>
                <c:pt idx="186">
                  <c:v>   08/15</c:v>
                </c:pt>
                <c:pt idx="187">
                  <c:v>   09/15</c:v>
                </c:pt>
                <c:pt idx="188">
                  <c:v>   10/15</c:v>
                </c:pt>
                <c:pt idx="189">
                  <c:v>   11/15</c:v>
                </c:pt>
                <c:pt idx="190">
                  <c:v>   12/15</c:v>
                </c:pt>
                <c:pt idx="191">
                  <c:v>   01/16</c:v>
                </c:pt>
                <c:pt idx="192">
                  <c:v>   02/16</c:v>
                </c:pt>
                <c:pt idx="193">
                  <c:v>   03/16</c:v>
                </c:pt>
                <c:pt idx="194">
                  <c:v>   04/16</c:v>
                </c:pt>
                <c:pt idx="195">
                  <c:v>   05/16</c:v>
                </c:pt>
                <c:pt idx="196">
                  <c:v>   06/16</c:v>
                </c:pt>
                <c:pt idx="197">
                  <c:v>   07/16</c:v>
                </c:pt>
                <c:pt idx="198">
                  <c:v>   08/16</c:v>
                </c:pt>
                <c:pt idx="199">
                  <c:v>   09/16</c:v>
                </c:pt>
                <c:pt idx="200">
                  <c:v>   10/16</c:v>
                </c:pt>
                <c:pt idx="201">
                  <c:v>   11/16</c:v>
                </c:pt>
                <c:pt idx="202">
                  <c:v>   12/16</c:v>
                </c:pt>
                <c:pt idx="203">
                  <c:v>   01/17</c:v>
                </c:pt>
                <c:pt idx="204">
                  <c:v>   02/17</c:v>
                </c:pt>
                <c:pt idx="205">
                  <c:v>   03/17</c:v>
                </c:pt>
                <c:pt idx="206">
                  <c:v>   04/17</c:v>
                </c:pt>
                <c:pt idx="207">
                  <c:v>   05/17</c:v>
                </c:pt>
                <c:pt idx="208">
                  <c:v>   06/17</c:v>
                </c:pt>
                <c:pt idx="209">
                  <c:v>   07/17</c:v>
                </c:pt>
                <c:pt idx="210">
                  <c:v>   08/17</c:v>
                </c:pt>
                <c:pt idx="211">
                  <c:v>   09/17</c:v>
                </c:pt>
                <c:pt idx="212">
                  <c:v>   10/17</c:v>
                </c:pt>
                <c:pt idx="213">
                  <c:v>   11/17</c:v>
                </c:pt>
                <c:pt idx="214">
                  <c:v>   12/17</c:v>
                </c:pt>
                <c:pt idx="215">
                  <c:v>   01/18</c:v>
                </c:pt>
                <c:pt idx="216">
                  <c:v>   02/18</c:v>
                </c:pt>
                <c:pt idx="217">
                  <c:v>   03/18</c:v>
                </c:pt>
                <c:pt idx="218">
                  <c:v>   04/18</c:v>
                </c:pt>
                <c:pt idx="219">
                  <c:v>   05/18</c:v>
                </c:pt>
                <c:pt idx="220">
                  <c:v>   06/18</c:v>
                </c:pt>
                <c:pt idx="221">
                  <c:v>   07/18</c:v>
                </c:pt>
                <c:pt idx="222">
                  <c:v>   08/18</c:v>
                </c:pt>
                <c:pt idx="223">
                  <c:v>   09/18</c:v>
                </c:pt>
                <c:pt idx="224">
                  <c:v>   10/18</c:v>
                </c:pt>
                <c:pt idx="225">
                  <c:v>   11/18</c:v>
                </c:pt>
                <c:pt idx="226">
                  <c:v>   12/18</c:v>
                </c:pt>
                <c:pt idx="227">
                  <c:v>   01/19</c:v>
                </c:pt>
                <c:pt idx="228">
                  <c:v>   02/19</c:v>
                </c:pt>
                <c:pt idx="229">
                  <c:v>   03/19</c:v>
                </c:pt>
                <c:pt idx="230">
                  <c:v>   04/19</c:v>
                </c:pt>
                <c:pt idx="231">
                  <c:v>   05/19</c:v>
                </c:pt>
                <c:pt idx="232">
                  <c:v>   06/19</c:v>
                </c:pt>
                <c:pt idx="233">
                  <c:v>   07/19</c:v>
                </c:pt>
                <c:pt idx="234">
                  <c:v>   08/19</c:v>
                </c:pt>
                <c:pt idx="235">
                  <c:v>   09/19</c:v>
                </c:pt>
                <c:pt idx="236">
                  <c:v>   10/19</c:v>
                </c:pt>
                <c:pt idx="237">
                  <c:v>   11/19</c:v>
                </c:pt>
                <c:pt idx="238">
                  <c:v>   12/19</c:v>
                </c:pt>
                <c:pt idx="239">
                  <c:v>   01/20</c:v>
                </c:pt>
                <c:pt idx="240">
                  <c:v>   02/20</c:v>
                </c:pt>
                <c:pt idx="241">
                  <c:v>   03/20</c:v>
                </c:pt>
                <c:pt idx="242">
                  <c:v>   04/20</c:v>
                </c:pt>
                <c:pt idx="243">
                  <c:v>   05/20</c:v>
                </c:pt>
                <c:pt idx="244">
                  <c:v>   06/20</c:v>
                </c:pt>
                <c:pt idx="245">
                  <c:v>   07/20</c:v>
                </c:pt>
                <c:pt idx="246">
                  <c:v>   08/20</c:v>
                </c:pt>
                <c:pt idx="247">
                  <c:v>   09/20</c:v>
                </c:pt>
                <c:pt idx="248">
                  <c:v>   10/20</c:v>
                </c:pt>
                <c:pt idx="249">
                  <c:v>   11/20</c:v>
                </c:pt>
                <c:pt idx="250">
                  <c:v>   12/20</c:v>
                </c:pt>
                <c:pt idx="251">
                  <c:v>   01/21</c:v>
                </c:pt>
                <c:pt idx="252">
                  <c:v>   02/21</c:v>
                </c:pt>
                <c:pt idx="253">
                  <c:v>   03/21</c:v>
                </c:pt>
                <c:pt idx="254">
                  <c:v>   04/21</c:v>
                </c:pt>
                <c:pt idx="255">
                  <c:v>   05/21</c:v>
                </c:pt>
                <c:pt idx="256">
                  <c:v>   06/21</c:v>
                </c:pt>
                <c:pt idx="257">
                  <c:v>   07/21</c:v>
                </c:pt>
                <c:pt idx="258">
                  <c:v>   08/21</c:v>
                </c:pt>
                <c:pt idx="259">
                  <c:v>   09/21</c:v>
                </c:pt>
                <c:pt idx="260">
                  <c:v>   10/21</c:v>
                </c:pt>
                <c:pt idx="261">
                  <c:v>   11/21</c:v>
                </c:pt>
                <c:pt idx="262">
                  <c:v>   12/21</c:v>
                </c:pt>
                <c:pt idx="263">
                  <c:v>   01/22</c:v>
                </c:pt>
                <c:pt idx="264">
                  <c:v>   02/22</c:v>
                </c:pt>
                <c:pt idx="265">
                  <c:v>   03/22</c:v>
                </c:pt>
                <c:pt idx="266">
                  <c:v>   04/22</c:v>
                </c:pt>
                <c:pt idx="267">
                  <c:v>   05/22</c:v>
                </c:pt>
                <c:pt idx="268">
                  <c:v>   06/22</c:v>
                </c:pt>
                <c:pt idx="269">
                  <c:v>   07/22</c:v>
                </c:pt>
                <c:pt idx="270">
                  <c:v>   08/22</c:v>
                </c:pt>
                <c:pt idx="271">
                  <c:v>   09/22</c:v>
                </c:pt>
                <c:pt idx="272">
                  <c:v>   10/22</c:v>
                </c:pt>
              </c:strCache>
            </c:strRef>
          </c:cat>
          <c:val>
            <c:numRef>
              <c:f>'Data for Graph 2'!$D$3:$D$275</c:f>
              <c:numCache>
                <c:ptCount val="273"/>
                <c:pt idx="0">
                  <c:v>1</c:v>
                </c:pt>
                <c:pt idx="1">
                  <c:v>1.021</c:v>
                </c:pt>
                <c:pt idx="2">
                  <c:v>1.0271666666666668</c:v>
                </c:pt>
                <c:pt idx="3">
                  <c:v>1.0550000000000002</c:v>
                </c:pt>
                <c:pt idx="4">
                  <c:v>1.033666666666667</c:v>
                </c:pt>
                <c:pt idx="5">
                  <c:v>1.0560000000000003</c:v>
                </c:pt>
                <c:pt idx="6">
                  <c:v>1.102</c:v>
                </c:pt>
                <c:pt idx="7">
                  <c:v>1.1115000000000002</c:v>
                </c:pt>
                <c:pt idx="8">
                  <c:v>1.1275000000000002</c:v>
                </c:pt>
                <c:pt idx="9">
                  <c:v>1.1056666666666668</c:v>
                </c:pt>
                <c:pt idx="10">
                  <c:v>1.1605</c:v>
                </c:pt>
                <c:pt idx="11">
                  <c:v>1.223666666666667</c:v>
                </c:pt>
                <c:pt idx="12">
                  <c:v>1.182666666666667</c:v>
                </c:pt>
                <c:pt idx="13">
                  <c:v>1.1818333333333337</c:v>
                </c:pt>
                <c:pt idx="14">
                  <c:v>1.234166666666667</c:v>
                </c:pt>
                <c:pt idx="15">
                  <c:v>1.2670777777777782</c:v>
                </c:pt>
                <c:pt idx="16">
                  <c:v>1.2549986997635938</c:v>
                </c:pt>
                <c:pt idx="17">
                  <c:v>1.307166312056738</c:v>
                </c:pt>
                <c:pt idx="18">
                  <c:v>1.2823079196217497</c:v>
                </c:pt>
                <c:pt idx="19">
                  <c:v>1.1711453900709223</c:v>
                </c:pt>
                <c:pt idx="20">
                  <c:v>1.1928527186761233</c:v>
                </c:pt>
                <c:pt idx="21">
                  <c:v>1.2642768321513005</c:v>
                </c:pt>
                <c:pt idx="22">
                  <c:v>1.3066411347517732</c:v>
                </c:pt>
                <c:pt idx="23">
                  <c:v>1.288434988179669</c:v>
                </c:pt>
                <c:pt idx="24">
                  <c:v>1.2674278959810876</c:v>
                </c:pt>
                <c:pt idx="25">
                  <c:v>1.3357009456264777</c:v>
                </c:pt>
                <c:pt idx="26">
                  <c:v>1.2945620567375888</c:v>
                </c:pt>
                <c:pt idx="27">
                  <c:v>1.2840753136019685</c:v>
                </c:pt>
                <c:pt idx="28">
                  <c:v>1.2051813984634474</c:v>
                </c:pt>
                <c:pt idx="29">
                  <c:v>1.1040025137890452</c:v>
                </c:pt>
                <c:pt idx="30">
                  <c:v>1.0973426378357936</c:v>
                </c:pt>
                <c:pt idx="31">
                  <c:v>0.9610713298692571</c:v>
                </c:pt>
                <c:pt idx="32">
                  <c:v>0.9508253668642543</c:v>
                </c:pt>
                <c:pt idx="33">
                  <c:v>0.9892477281330146</c:v>
                </c:pt>
                <c:pt idx="34">
                  <c:v>0.95313070854038</c:v>
                </c:pt>
                <c:pt idx="35">
                  <c:v>0.949032323338379</c:v>
                </c:pt>
                <c:pt idx="36">
                  <c:v>0.9029254898158666</c:v>
                </c:pt>
                <c:pt idx="37">
                  <c:v>0.9290526954786236</c:v>
                </c:pt>
                <c:pt idx="38">
                  <c:v>0.9900161753583898</c:v>
                </c:pt>
                <c:pt idx="39">
                  <c:v>1.0632128431631098</c:v>
                </c:pt>
                <c:pt idx="40">
                  <c:v>1.1035267780656544</c:v>
                </c:pt>
                <c:pt idx="41">
                  <c:v>1.1572786912690471</c:v>
                </c:pt>
                <c:pt idx="42">
                  <c:v>1.1986676644356595</c:v>
                </c:pt>
                <c:pt idx="43">
                  <c:v>1.187917281794981</c:v>
                </c:pt>
                <c:pt idx="44">
                  <c:v>1.2438192715265095</c:v>
                </c:pt>
                <c:pt idx="45">
                  <c:v>1.2803705725048165</c:v>
                </c:pt>
                <c:pt idx="46">
                  <c:v>1.3169218734831234</c:v>
                </c:pt>
                <c:pt idx="47">
                  <c:v>1.342722791820752</c:v>
                </c:pt>
                <c:pt idx="48">
                  <c:v>1.3628797592720245</c:v>
                </c:pt>
                <c:pt idx="49">
                  <c:v>1.337347600500413</c:v>
                </c:pt>
                <c:pt idx="50">
                  <c:v>1.3037526547482925</c:v>
                </c:pt>
                <c:pt idx="51">
                  <c:v>1.2830581681649862</c:v>
                </c:pt>
                <c:pt idx="52">
                  <c:v>1.314757519177283</c:v>
                </c:pt>
                <c:pt idx="53">
                  <c:v>1.2435899243285664</c:v>
                </c:pt>
                <c:pt idx="54">
                  <c:v>1.2430228518596522</c:v>
                </c:pt>
                <c:pt idx="55">
                  <c:v>1.25663259111359</c:v>
                </c:pt>
                <c:pt idx="56">
                  <c:v>1.2583338085203324</c:v>
                </c:pt>
                <c:pt idx="57">
                  <c:v>1.323263606210994</c:v>
                </c:pt>
                <c:pt idx="58">
                  <c:v>1.3620995642445741</c:v>
                </c:pt>
                <c:pt idx="59">
                  <c:v>1.3446118178373792</c:v>
                </c:pt>
                <c:pt idx="60">
                  <c:v>1.389064774719544</c:v>
                </c:pt>
                <c:pt idx="61">
                  <c:v>1.3728032086277697</c:v>
                </c:pt>
                <c:pt idx="62">
                  <c:v>1.3267079661012982</c:v>
                </c:pt>
                <c:pt idx="63">
                  <c:v>1.310452626329798</c:v>
                </c:pt>
                <c:pt idx="64">
                  <c:v>1.3371654734929261</c:v>
                </c:pt>
                <c:pt idx="65">
                  <c:v>1.407126091673503</c:v>
                </c:pt>
                <c:pt idx="66">
                  <c:v>1.38878205044364</c:v>
                </c:pt>
                <c:pt idx="67">
                  <c:v>1.38606659824826</c:v>
                </c:pt>
                <c:pt idx="68">
                  <c:v>1.3463234193806477</c:v>
                </c:pt>
                <c:pt idx="69">
                  <c:v>1.4140199617182179</c:v>
                </c:pt>
                <c:pt idx="70">
                  <c:v>1.4080938000652254</c:v>
                </c:pt>
                <c:pt idx="71">
                  <c:v>1.4695041184812812</c:v>
                </c:pt>
                <c:pt idx="72">
                  <c:v>1.4600927379509006</c:v>
                </c:pt>
                <c:pt idx="73">
                  <c:v>1.4862937008675836</c:v>
                </c:pt>
                <c:pt idx="74">
                  <c:v>1.547641481524349</c:v>
                </c:pt>
                <c:pt idx="75">
                  <c:v>1.5006637344035416</c:v>
                </c:pt>
                <c:pt idx="76">
                  <c:v>1.4897678393266083</c:v>
                </c:pt>
                <c:pt idx="77">
                  <c:v>1.4982053120754804</c:v>
                </c:pt>
                <c:pt idx="78">
                  <c:v>1.529900842247963</c:v>
                </c:pt>
                <c:pt idx="79">
                  <c:v>1.5462088599161699</c:v>
                </c:pt>
                <c:pt idx="80">
                  <c:v>1.5781418224738983</c:v>
                </c:pt>
                <c:pt idx="81">
                  <c:v>1.6087966575283221</c:v>
                </c:pt>
                <c:pt idx="82">
                  <c:v>1.6208196979459926</c:v>
                </c:pt>
                <c:pt idx="83">
                  <c:v>1.6448833071362403</c:v>
                </c:pt>
                <c:pt idx="84">
                  <c:v>1.6392717877491687</c:v>
                </c:pt>
                <c:pt idx="85">
                  <c:v>1.6627494042802136</c:v>
                </c:pt>
                <c:pt idx="86">
                  <c:v>1.7152614394139694</c:v>
                </c:pt>
                <c:pt idx="87">
                  <c:v>1.781413110215467</c:v>
                </c:pt>
                <c:pt idx="88">
                  <c:v>1.7680005471829383</c:v>
                </c:pt>
                <c:pt idx="89">
                  <c:v>1.726693732384287</c:v>
                </c:pt>
                <c:pt idx="90">
                  <c:v>1.748996354246993</c:v>
                </c:pt>
                <c:pt idx="91">
                  <c:v>1.7709911201068835</c:v>
                </c:pt>
                <c:pt idx="92">
                  <c:v>1.8326431567623283</c:v>
                </c:pt>
                <c:pt idx="93">
                  <c:v>1.7963839677036941</c:v>
                </c:pt>
                <c:pt idx="94">
                  <c:v>1.7997443171431167</c:v>
                </c:pt>
                <c:pt idx="95">
                  <c:v>1.7555332029182054</c:v>
                </c:pt>
                <c:pt idx="96">
                  <c:v>1.7220322612836394</c:v>
                </c:pt>
                <c:pt idx="97">
                  <c:v>1.6518326893789705</c:v>
                </c:pt>
                <c:pt idx="98">
                  <c:v>1.7666726668967625</c:v>
                </c:pt>
                <c:pt idx="99">
                  <c:v>1.832688388405225</c:v>
                </c:pt>
                <c:pt idx="100">
                  <c:v>1.7464002545163408</c:v>
                </c:pt>
                <c:pt idx="101">
                  <c:v>1.7143973303626903</c:v>
                </c:pt>
                <c:pt idx="102">
                  <c:v>1.7237853350755328</c:v>
                </c:pt>
                <c:pt idx="103">
                  <c:v>1.5754126919593812</c:v>
                </c:pt>
                <c:pt idx="104">
                  <c:v>1.3820800298817189</c:v>
                </c:pt>
                <c:pt idx="105">
                  <c:v>1.3278104804185946</c:v>
                </c:pt>
                <c:pt idx="106">
                  <c:v>1.3733814919833032</c:v>
                </c:pt>
                <c:pt idx="107">
                  <c:v>1.3091351738022974</c:v>
                </c:pt>
                <c:pt idx="108">
                  <c:v>1.250514004620642</c:v>
                </c:pt>
                <c:pt idx="109">
                  <c:v>1.285987390268149</c:v>
                </c:pt>
                <c:pt idx="110">
                  <c:v>1.3249915622987607</c:v>
                </c:pt>
                <c:pt idx="111">
                  <c:v>1.3925702981767025</c:v>
                </c:pt>
                <c:pt idx="112">
                  <c:v>1.4158930796531966</c:v>
                </c:pt>
                <c:pt idx="113">
                  <c:v>1.4725941534684224</c:v>
                </c:pt>
                <c:pt idx="114">
                  <c:v>1.4972801988300648</c:v>
                </c:pt>
                <c:pt idx="115">
                  <c:v>1.5594270251811428</c:v>
                </c:pt>
                <c:pt idx="116">
                  <c:v>1.520474142222906</c:v>
                </c:pt>
                <c:pt idx="117">
                  <c:v>1.581147868950854</c:v>
                </c:pt>
                <c:pt idx="118">
                  <c:v>1.6092188751769714</c:v>
                </c:pt>
                <c:pt idx="119">
                  <c:v>1.5572753637840986</c:v>
                </c:pt>
                <c:pt idx="120">
                  <c:v>1.598836654769272</c:v>
                </c:pt>
                <c:pt idx="121">
                  <c:v>1.7004105870531598</c:v>
                </c:pt>
                <c:pt idx="122">
                  <c:v>1.7218502106402784</c:v>
                </c:pt>
                <c:pt idx="123">
                  <c:v>1.5984478054689224</c:v>
                </c:pt>
                <c:pt idx="124">
                  <c:v>1.5166065036463139</c:v>
                </c:pt>
                <c:pt idx="125">
                  <c:v>1.6093164840979395</c:v>
                </c:pt>
                <c:pt idx="126">
                  <c:v>1.550973172742201</c:v>
                </c:pt>
                <c:pt idx="127">
                  <c:v>1.6658271564029712</c:v>
                </c:pt>
                <c:pt idx="128">
                  <c:v>1.6997621687620421</c:v>
                </c:pt>
                <c:pt idx="129">
                  <c:v>1.7136807760942592</c:v>
                </c:pt>
                <c:pt idx="130">
                  <c:v>1.843289231749004</c:v>
                </c:pt>
                <c:pt idx="131">
                  <c:v>1.8677436851031572</c:v>
                </c:pt>
                <c:pt idx="132">
                  <c:v>1.9156180700518208</c:v>
                </c:pt>
                <c:pt idx="133">
                  <c:v>1.8849087764897634</c:v>
                </c:pt>
                <c:pt idx="134">
                  <c:v>1.958458813693932</c:v>
                </c:pt>
                <c:pt idx="135">
                  <c:v>1.9361186896880698</c:v>
                </c:pt>
                <c:pt idx="136">
                  <c:v>1.8978320709390437</c:v>
                </c:pt>
                <c:pt idx="137">
                  <c:v>1.834045297123328</c:v>
                </c:pt>
                <c:pt idx="138">
                  <c:v>1.7045269451546647</c:v>
                </c:pt>
                <c:pt idx="139">
                  <c:v>1.5944263000481753</c:v>
                </c:pt>
                <c:pt idx="140">
                  <c:v>1.73863520640853</c:v>
                </c:pt>
                <c:pt idx="141">
                  <c:v>1.7298495120482553</c:v>
                </c:pt>
                <c:pt idx="142">
                  <c:v>1.7695112458884454</c:v>
                </c:pt>
                <c:pt idx="143">
                  <c:v>1.8519817195726966</c:v>
                </c:pt>
                <c:pt idx="144">
                  <c:v>1.9108519551038754</c:v>
                </c:pt>
                <c:pt idx="145">
                  <c:v>1.9483323668475268</c:v>
                </c:pt>
                <c:pt idx="146">
                  <c:v>1.9086291519600453</c:v>
                </c:pt>
                <c:pt idx="147">
                  <c:v>1.775189329305498</c:v>
                </c:pt>
                <c:pt idx="148">
                  <c:v>1.8258099234504073</c:v>
                </c:pt>
                <c:pt idx="149">
                  <c:v>1.8573851589122572</c:v>
                </c:pt>
                <c:pt idx="150">
                  <c:v>1.8894192102044174</c:v>
                </c:pt>
                <c:pt idx="151">
                  <c:v>1.958160508680485</c:v>
                </c:pt>
                <c:pt idx="152">
                  <c:v>1.933634164539441</c:v>
                </c:pt>
                <c:pt idx="153">
                  <c:v>1.9327753704269182</c:v>
                </c:pt>
                <c:pt idx="154">
                  <c:v>2.0042400325676697</c:v>
                </c:pt>
                <c:pt idx="155">
                  <c:v>2.192786733629414</c:v>
                </c:pt>
                <c:pt idx="156">
                  <c:v>2.183702827427028</c:v>
                </c:pt>
                <c:pt idx="157">
                  <c:v>2.2727403860607596</c:v>
                </c:pt>
                <c:pt idx="158">
                  <c:v>2.3687375209724606</c:v>
                </c:pt>
                <c:pt idx="159">
                  <c:v>2.423018609844486</c:v>
                </c:pt>
                <c:pt idx="160">
                  <c:v>2.3654649629673776</c:v>
                </c:pt>
                <c:pt idx="161">
                  <c:v>2.5155657568468204</c:v>
                </c:pt>
                <c:pt idx="162">
                  <c:v>2.44795660864772</c:v>
                </c:pt>
                <c:pt idx="163">
                  <c:v>2.543526931795922</c:v>
                </c:pt>
                <c:pt idx="164">
                  <c:v>2.6583870423304634</c:v>
                </c:pt>
                <c:pt idx="165">
                  <c:v>2.768372769006753</c:v>
                </c:pt>
                <c:pt idx="166">
                  <c:v>2.822584015988737</c:v>
                </c:pt>
                <c:pt idx="167">
                  <c:v>2.692544498076044</c:v>
                </c:pt>
                <c:pt idx="168">
                  <c:v>2.7936453820360163</c:v>
                </c:pt>
                <c:pt idx="169">
                  <c:v>2.814614976809814</c:v>
                </c:pt>
                <c:pt idx="170">
                  <c:v>2.8311266661895496</c:v>
                </c:pt>
                <c:pt idx="171">
                  <c:v>2.8882534056786295</c:v>
                </c:pt>
                <c:pt idx="172">
                  <c:v>2.981213032981055</c:v>
                </c:pt>
                <c:pt idx="173">
                  <c:v>2.9023001462333733</c:v>
                </c:pt>
                <c:pt idx="174">
                  <c:v>3.0048643221751385</c:v>
                </c:pt>
                <c:pt idx="175">
                  <c:v>2.9170000156948435</c:v>
                </c:pt>
                <c:pt idx="176">
                  <c:v>2.974962163975308</c:v>
                </c:pt>
                <c:pt idx="177">
                  <c:v>3.0610657146123326</c:v>
                </c:pt>
                <c:pt idx="178">
                  <c:v>3.086969140886519</c:v>
                </c:pt>
                <c:pt idx="179">
                  <c:v>2.995409675504169</c:v>
                </c:pt>
                <c:pt idx="180">
                  <c:v>3.149680500128238</c:v>
                </c:pt>
                <c:pt idx="181">
                  <c:v>3.0851460874220544</c:v>
                </c:pt>
                <c:pt idx="182">
                  <c:v>3.1347253557989365</c:v>
                </c:pt>
                <c:pt idx="183">
                  <c:v>3.1372106646334474</c:v>
                </c:pt>
                <c:pt idx="184">
                  <c:v>3.0733453624444182</c:v>
                </c:pt>
                <c:pt idx="185">
                  <c:v>3.0752248878678654</c:v>
                </c:pt>
                <c:pt idx="186">
                  <c:v>2.9071848845289816</c:v>
                </c:pt>
                <c:pt idx="187">
                  <c:v>2.818745659466573</c:v>
                </c:pt>
                <c:pt idx="188">
                  <c:v>3.0174337280361</c:v>
                </c:pt>
                <c:pt idx="189">
                  <c:v>3.04372137582558</c:v>
                </c:pt>
                <c:pt idx="190">
                  <c:v>2.9111549233165763</c:v>
                </c:pt>
                <c:pt idx="191">
                  <c:v>2.7161377957614867</c:v>
                </c:pt>
                <c:pt idx="192">
                  <c:v>2.7157396593656005</c:v>
                </c:pt>
                <c:pt idx="193">
                  <c:v>2.939327645863424</c:v>
                </c:pt>
                <c:pt idx="194">
                  <c:v>2.9748709031224516</c:v>
                </c:pt>
                <c:pt idx="195">
                  <c:v>2.9842473461711063</c:v>
                </c:pt>
                <c:pt idx="196">
                  <c:v>2.9694046723219025</c:v>
                </c:pt>
                <c:pt idx="197">
                  <c:v>3.073379644243442</c:v>
                </c:pt>
                <c:pt idx="198">
                  <c:v>3.091925450418537</c:v>
                </c:pt>
                <c:pt idx="199">
                  <c:v>3.0357751575979868</c:v>
                </c:pt>
                <c:pt idx="200">
                  <c:v>3.0219324367103346</c:v>
                </c:pt>
                <c:pt idx="201">
                  <c:v>3.1342634647680794</c:v>
                </c:pt>
                <c:pt idx="202">
                  <c:v>3.17989968560022</c:v>
                </c:pt>
                <c:pt idx="203">
                  <c:v>3.2211414155054072</c:v>
                </c:pt>
                <c:pt idx="204">
                  <c:v>3.340474199391047</c:v>
                </c:pt>
                <c:pt idx="205">
                  <c:v>3.3197876538819973</c:v>
                </c:pt>
                <c:pt idx="206">
                  <c:v>3.3105162401494717</c:v>
                </c:pt>
                <c:pt idx="207">
                  <c:v>3.2505744626798427</c:v>
                </c:pt>
                <c:pt idx="208">
                  <c:v>3.3474671423946956</c:v>
                </c:pt>
                <c:pt idx="209">
                  <c:v>3.4096008507801</c:v>
                </c:pt>
                <c:pt idx="210">
                  <c:v>3.385032733673704</c:v>
                </c:pt>
                <c:pt idx="211">
                  <c:v>3.449710062914927</c:v>
                </c:pt>
                <c:pt idx="212">
                  <c:v>3.4711100225625064</c:v>
                </c:pt>
                <c:pt idx="213">
                  <c:v>3.5485106621225997</c:v>
                </c:pt>
                <c:pt idx="214">
                  <c:v>3.5672568586752456</c:v>
                </c:pt>
                <c:pt idx="215">
                  <c:v>3.7315903339017744</c:v>
                </c:pt>
                <c:pt idx="216">
                  <c:v>3.5573332060117764</c:v>
                </c:pt>
                <c:pt idx="217">
                  <c:v>3.43537118673451</c:v>
                </c:pt>
                <c:pt idx="218">
                  <c:v>3.409075242189519</c:v>
                </c:pt>
                <c:pt idx="219">
                  <c:v>3.4673175951394453</c:v>
                </c:pt>
                <c:pt idx="220">
                  <c:v>3.463412926835356</c:v>
                </c:pt>
                <c:pt idx="221">
                  <c:v>3.6058559104937173</c:v>
                </c:pt>
                <c:pt idx="222">
                  <c:v>3.6356667540480108</c:v>
                </c:pt>
                <c:pt idx="223">
                  <c:v>3.6246384606777067</c:v>
                </c:pt>
                <c:pt idx="224">
                  <c:v>3.374536954987906</c:v>
                </c:pt>
                <c:pt idx="225">
                  <c:v>3.4704534610384212</c:v>
                </c:pt>
                <c:pt idx="226">
                  <c:v>3.1117951320662742</c:v>
                </c:pt>
                <c:pt idx="227">
                  <c:v>3.3414938395934355</c:v>
                </c:pt>
                <c:pt idx="228">
                  <c:v>3.3980329010741634</c:v>
                </c:pt>
                <c:pt idx="229">
                  <c:v>3.4494440547087817</c:v>
                </c:pt>
                <c:pt idx="230">
                  <c:v>3.5502445673127534</c:v>
                </c:pt>
                <c:pt idx="231">
                  <c:v>3.345119125300834</c:v>
                </c:pt>
                <c:pt idx="232">
                  <c:v>3.5774649998467756</c:v>
                </c:pt>
                <c:pt idx="233">
                  <c:v>3.5907509463080913</c:v>
                </c:pt>
                <c:pt idx="234">
                  <c:v>3.647226862866694</c:v>
                </c:pt>
                <c:pt idx="235">
                  <c:v>3.666037735396933</c:v>
                </c:pt>
                <c:pt idx="236">
                  <c:v>3.6361665055877297</c:v>
                </c:pt>
                <c:pt idx="237">
                  <c:v>3.7824092420701168</c:v>
                </c:pt>
                <c:pt idx="238">
                  <c:v>3.794942097753688</c:v>
                </c:pt>
                <c:pt idx="239">
                  <c:v>3.766376506911879</c:v>
                </c:pt>
                <c:pt idx="240">
                  <c:v>3.408920349017882</c:v>
                </c:pt>
                <c:pt idx="241">
                  <c:v>3.018283786280079</c:v>
                </c:pt>
                <c:pt idx="242">
                  <c:v>3.2896992811296517</c:v>
                </c:pt>
                <c:pt idx="243">
                  <c:v>3.399694419651404</c:v>
                </c:pt>
                <c:pt idx="244">
                  <c:v>3.454375956297339</c:v>
                </c:pt>
                <c:pt idx="245">
                  <c:v>3.634668761641349</c:v>
                </c:pt>
                <c:pt idx="246">
                  <c:v>3.788947675389332</c:v>
                </c:pt>
                <c:pt idx="247">
                  <c:v>3.718331907713985</c:v>
                </c:pt>
                <c:pt idx="248">
                  <c:v>3.653589703336253</c:v>
                </c:pt>
                <c:pt idx="249">
                  <c:v>4.077755052042724</c:v>
                </c:pt>
                <c:pt idx="250">
                  <c:v>4.2944054449094855</c:v>
                </c:pt>
                <c:pt idx="251">
                  <c:v>4.360791578183115</c:v>
                </c:pt>
                <c:pt idx="252">
                  <c:v>4.5636506095218285</c:v>
                </c:pt>
                <c:pt idx="253">
                  <c:v>4.811612030571526</c:v>
                </c:pt>
                <c:pt idx="254">
                  <c:v>5.01750030254327</c:v>
                </c:pt>
                <c:pt idx="255">
                  <c:v>5.3425554461867995</c:v>
                </c:pt>
                <c:pt idx="256">
                  <c:v>5.246187957948191</c:v>
                </c:pt>
                <c:pt idx="257">
                  <c:v>5.114550367630741</c:v>
                </c:pt>
                <c:pt idx="258">
                  <c:v>5.18969219775552</c:v>
                </c:pt>
                <c:pt idx="259">
                  <c:v>5.194115489160108</c:v>
                </c:pt>
                <c:pt idx="260">
                  <c:v>5.437055752330055</c:v>
                </c:pt>
                <c:pt idx="261">
                  <c:v>5.227589603144048</c:v>
                </c:pt>
                <c:pt idx="262">
                  <c:v>5.618210517769569</c:v>
                </c:pt>
                <c:pt idx="263">
                  <c:v>5.4170322357917975</c:v>
                </c:pt>
                <c:pt idx="264">
                  <c:v>5.390909921908665</c:v>
                </c:pt>
                <c:pt idx="265">
                  <c:v>5.539530252605899</c:v>
                </c:pt>
                <c:pt idx="266">
                  <c:v>5.142522618581296</c:v>
                </c:pt>
                <c:pt idx="267">
                  <c:v>5.282409838245605</c:v>
                </c:pt>
                <c:pt idx="268">
                  <c:v>4.646365564390978</c:v>
                </c:pt>
                <c:pt idx="269">
                  <c:v>5.044765577880174</c:v>
                </c:pt>
                <c:pt idx="270">
                  <c:v>4.932540241899819</c:v>
                </c:pt>
                <c:pt idx="271">
                  <c:v>4.379365512910242</c:v>
                </c:pt>
                <c:pt idx="272">
                  <c:v>4.839472488273088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'Data for Graph 2'!$A$3:$A$275</c:f>
              <c:strCache>
                <c:ptCount val="273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  <c:pt idx="5">
                  <c:v>   07/00</c:v>
                </c:pt>
                <c:pt idx="6">
                  <c:v>   08/00</c:v>
                </c:pt>
                <c:pt idx="7">
                  <c:v>   09/00</c:v>
                </c:pt>
                <c:pt idx="8">
                  <c:v>   10/00</c:v>
                </c:pt>
                <c:pt idx="9">
                  <c:v>   11/00</c:v>
                </c:pt>
                <c:pt idx="10">
                  <c:v>   12/00</c:v>
                </c:pt>
                <c:pt idx="11">
                  <c:v>   01/2001</c:v>
                </c:pt>
                <c:pt idx="12">
                  <c:v>   02/01</c:v>
                </c:pt>
                <c:pt idx="13">
                  <c:v>   03/01</c:v>
                </c:pt>
                <c:pt idx="14">
                  <c:v>   04/01</c:v>
                </c:pt>
                <c:pt idx="15">
                  <c:v>   05/01</c:v>
                </c:pt>
                <c:pt idx="16">
                  <c:v>   06/01</c:v>
                </c:pt>
                <c:pt idx="17">
                  <c:v>   07/01</c:v>
                </c:pt>
                <c:pt idx="18">
                  <c:v>   08/01</c:v>
                </c:pt>
                <c:pt idx="19">
                  <c:v>   09/01</c:v>
                </c:pt>
                <c:pt idx="20">
                  <c:v>   10/01</c:v>
                </c:pt>
                <c:pt idx="21">
                  <c:v>   11/01</c:v>
                </c:pt>
                <c:pt idx="22">
                  <c:v>   12/01</c:v>
                </c:pt>
                <c:pt idx="23">
                  <c:v>   01/2002</c:v>
                </c:pt>
                <c:pt idx="24">
                  <c:v>   02/02</c:v>
                </c:pt>
                <c:pt idx="25">
                  <c:v>   03/02</c:v>
                </c:pt>
                <c:pt idx="26">
                  <c:v>   04/02</c:v>
                </c:pt>
                <c:pt idx="27">
                  <c:v>   05/02</c:v>
                </c:pt>
                <c:pt idx="28">
                  <c:v>   06/02</c:v>
                </c:pt>
                <c:pt idx="29">
                  <c:v>   07/02</c:v>
                </c:pt>
                <c:pt idx="30">
                  <c:v>   08/02</c:v>
                </c:pt>
                <c:pt idx="31">
                  <c:v>   09/02</c:v>
                </c:pt>
                <c:pt idx="32">
                  <c:v>   10/02</c:v>
                </c:pt>
                <c:pt idx="33">
                  <c:v>   11/02</c:v>
                </c:pt>
                <c:pt idx="34">
                  <c:v>   12/02</c:v>
                </c:pt>
                <c:pt idx="35">
                  <c:v>   01/2003</c:v>
                </c:pt>
                <c:pt idx="36">
                  <c:v>   02/03</c:v>
                </c:pt>
                <c:pt idx="37">
                  <c:v>   03/03</c:v>
                </c:pt>
                <c:pt idx="38">
                  <c:v>   04/03</c:v>
                </c:pt>
                <c:pt idx="39">
                  <c:v>   05/03</c:v>
                </c:pt>
                <c:pt idx="40">
                  <c:v>   06/03</c:v>
                </c:pt>
                <c:pt idx="41">
                  <c:v>   07/03</c:v>
                </c:pt>
                <c:pt idx="42">
                  <c:v>   08/03</c:v>
                </c:pt>
                <c:pt idx="43">
                  <c:v>   09/03</c:v>
                </c:pt>
                <c:pt idx="44">
                  <c:v>   10/03</c:v>
                </c:pt>
                <c:pt idx="45">
                  <c:v>   11/03</c:v>
                </c:pt>
                <c:pt idx="46">
                  <c:v>   12/03</c:v>
                </c:pt>
                <c:pt idx="47">
                  <c:v>   01/2004</c:v>
                </c:pt>
                <c:pt idx="48">
                  <c:v>   02/04</c:v>
                </c:pt>
                <c:pt idx="49">
                  <c:v>   03/04</c:v>
                </c:pt>
                <c:pt idx="50">
                  <c:v>   04/04</c:v>
                </c:pt>
                <c:pt idx="51">
                  <c:v>   05/04</c:v>
                </c:pt>
                <c:pt idx="52">
                  <c:v>   06/04</c:v>
                </c:pt>
                <c:pt idx="53">
                  <c:v>   07/04</c:v>
                </c:pt>
                <c:pt idx="54">
                  <c:v>   08/04</c:v>
                </c:pt>
                <c:pt idx="55">
                  <c:v>   09/04</c:v>
                </c:pt>
                <c:pt idx="56">
                  <c:v>   10/04</c:v>
                </c:pt>
                <c:pt idx="57">
                  <c:v>   11/04</c:v>
                </c:pt>
                <c:pt idx="58">
                  <c:v>   12/04</c:v>
                </c:pt>
                <c:pt idx="59">
                  <c:v>   01/2005</c:v>
                </c:pt>
                <c:pt idx="60">
                  <c:v>   02/05</c:v>
                </c:pt>
                <c:pt idx="61">
                  <c:v>   03/05</c:v>
                </c:pt>
                <c:pt idx="62">
                  <c:v>   04/05</c:v>
                </c:pt>
                <c:pt idx="63">
                  <c:v>   05/05</c:v>
                </c:pt>
                <c:pt idx="64">
                  <c:v>   06/05</c:v>
                </c:pt>
                <c:pt idx="65">
                  <c:v>   07/05</c:v>
                </c:pt>
                <c:pt idx="66">
                  <c:v>   08/05</c:v>
                </c:pt>
                <c:pt idx="67">
                  <c:v>   09/05</c:v>
                </c:pt>
                <c:pt idx="68">
                  <c:v>   10/05</c:v>
                </c:pt>
                <c:pt idx="69">
                  <c:v>   11/05</c:v>
                </c:pt>
                <c:pt idx="70">
                  <c:v>   12/05</c:v>
                </c:pt>
                <c:pt idx="71">
                  <c:v>   01/2006</c:v>
                </c:pt>
                <c:pt idx="72">
                  <c:v>   02/06</c:v>
                </c:pt>
                <c:pt idx="73">
                  <c:v>   03/06</c:v>
                </c:pt>
                <c:pt idx="74">
                  <c:v>   04/06</c:v>
                </c:pt>
                <c:pt idx="76">
                  <c:v>   06/06</c:v>
                </c:pt>
                <c:pt idx="77">
                  <c:v>   07/06</c:v>
                </c:pt>
                <c:pt idx="78">
                  <c:v>   08/06</c:v>
                </c:pt>
                <c:pt idx="79">
                  <c:v>   09/06</c:v>
                </c:pt>
                <c:pt idx="80">
                  <c:v>   10/06</c:v>
                </c:pt>
                <c:pt idx="81">
                  <c:v>   11/06</c:v>
                </c:pt>
                <c:pt idx="82">
                  <c:v>   12/06</c:v>
                </c:pt>
                <c:pt idx="83">
                  <c:v>   01/2007</c:v>
                </c:pt>
                <c:pt idx="84">
                  <c:v>   02/07</c:v>
                </c:pt>
                <c:pt idx="85">
                  <c:v>   03/07</c:v>
                </c:pt>
                <c:pt idx="86">
                  <c:v>   04/07</c:v>
                </c:pt>
                <c:pt idx="87">
                  <c:v>   05/07</c:v>
                </c:pt>
                <c:pt idx="88">
                  <c:v>   06/07</c:v>
                </c:pt>
                <c:pt idx="89">
                  <c:v>   07/07</c:v>
                </c:pt>
                <c:pt idx="90">
                  <c:v>   08/07</c:v>
                </c:pt>
                <c:pt idx="91">
                  <c:v>   09/07</c:v>
                </c:pt>
                <c:pt idx="92">
                  <c:v>   10/07</c:v>
                </c:pt>
                <c:pt idx="93">
                  <c:v>   11/07</c:v>
                </c:pt>
                <c:pt idx="94">
                  <c:v>   12/07</c:v>
                </c:pt>
                <c:pt idx="95">
                  <c:v>   01/2008</c:v>
                </c:pt>
                <c:pt idx="96">
                  <c:v>   02/08</c:v>
                </c:pt>
                <c:pt idx="97">
                  <c:v>   03/08</c:v>
                </c:pt>
                <c:pt idx="98">
                  <c:v>   04/08</c:v>
                </c:pt>
                <c:pt idx="99">
                  <c:v>   05/08</c:v>
                </c:pt>
                <c:pt idx="100">
                  <c:v>   06/08</c:v>
                </c:pt>
                <c:pt idx="101">
                  <c:v>   07/08</c:v>
                </c:pt>
                <c:pt idx="102">
                  <c:v>   08/08</c:v>
                </c:pt>
                <c:pt idx="103">
                  <c:v>   09/08</c:v>
                </c:pt>
                <c:pt idx="104">
                  <c:v>   10/08</c:v>
                </c:pt>
                <c:pt idx="105">
                  <c:v>   11/08</c:v>
                </c:pt>
                <c:pt idx="106">
                  <c:v>   12/08</c:v>
                </c:pt>
                <c:pt idx="107">
                  <c:v>   01/2009</c:v>
                </c:pt>
                <c:pt idx="108">
                  <c:v>   02/09</c:v>
                </c:pt>
                <c:pt idx="109">
                  <c:v>   03/09</c:v>
                </c:pt>
                <c:pt idx="110">
                  <c:v>   04/09</c:v>
                </c:pt>
                <c:pt idx="111">
                  <c:v>   05/09</c:v>
                </c:pt>
                <c:pt idx="112">
                  <c:v>   06/09</c:v>
                </c:pt>
                <c:pt idx="113">
                  <c:v>   07/09</c:v>
                </c:pt>
                <c:pt idx="114">
                  <c:v>   08/09</c:v>
                </c:pt>
                <c:pt idx="115">
                  <c:v>   09/09</c:v>
                </c:pt>
                <c:pt idx="116">
                  <c:v>   10/09</c:v>
                </c:pt>
                <c:pt idx="117">
                  <c:v>   11/09</c:v>
                </c:pt>
                <c:pt idx="118">
                  <c:v>   12/09</c:v>
                </c:pt>
                <c:pt idx="119">
                  <c:v>   01/2010</c:v>
                </c:pt>
                <c:pt idx="120">
                  <c:v>   02/10</c:v>
                </c:pt>
                <c:pt idx="121">
                  <c:v>   03/10</c:v>
                </c:pt>
                <c:pt idx="122">
                  <c:v>   04/10</c:v>
                </c:pt>
                <c:pt idx="123">
                  <c:v>   05/10</c:v>
                </c:pt>
                <c:pt idx="124">
                  <c:v>   06/10</c:v>
                </c:pt>
                <c:pt idx="125">
                  <c:v>   07/10</c:v>
                </c:pt>
                <c:pt idx="126">
                  <c:v>   08/10</c:v>
                </c:pt>
                <c:pt idx="127">
                  <c:v>   09/10</c:v>
                </c:pt>
                <c:pt idx="128">
                  <c:v>   10/10</c:v>
                </c:pt>
                <c:pt idx="129">
                  <c:v>   11/10</c:v>
                </c:pt>
                <c:pt idx="130">
                  <c:v>   12/10</c:v>
                </c:pt>
                <c:pt idx="131">
                  <c:v>   01/2011</c:v>
                </c:pt>
                <c:pt idx="132">
                  <c:v>   02/11</c:v>
                </c:pt>
                <c:pt idx="133">
                  <c:v>   03/11</c:v>
                </c:pt>
                <c:pt idx="134">
                  <c:v>   04/11</c:v>
                </c:pt>
                <c:pt idx="135">
                  <c:v>   05/11</c:v>
                </c:pt>
                <c:pt idx="136">
                  <c:v>   06/11</c:v>
                </c:pt>
                <c:pt idx="137">
                  <c:v>   07/11</c:v>
                </c:pt>
                <c:pt idx="138">
                  <c:v>   08/11</c:v>
                </c:pt>
                <c:pt idx="139">
                  <c:v>   09/11</c:v>
                </c:pt>
                <c:pt idx="140">
                  <c:v>   10/11</c:v>
                </c:pt>
                <c:pt idx="141">
                  <c:v>   11/11</c:v>
                </c:pt>
                <c:pt idx="142">
                  <c:v>   12/11</c:v>
                </c:pt>
                <c:pt idx="143">
                  <c:v>   01/2012</c:v>
                </c:pt>
                <c:pt idx="144">
                  <c:v>   02/12</c:v>
                </c:pt>
                <c:pt idx="145">
                  <c:v>   03/12</c:v>
                </c:pt>
                <c:pt idx="146">
                  <c:v>   04/12</c:v>
                </c:pt>
                <c:pt idx="147">
                  <c:v>   05/12</c:v>
                </c:pt>
                <c:pt idx="148">
                  <c:v>   06/12</c:v>
                </c:pt>
                <c:pt idx="149">
                  <c:v>   07/12</c:v>
                </c:pt>
                <c:pt idx="150">
                  <c:v>   08/12</c:v>
                </c:pt>
                <c:pt idx="151">
                  <c:v>   09/12</c:v>
                </c:pt>
                <c:pt idx="152">
                  <c:v>   10/12</c:v>
                </c:pt>
                <c:pt idx="153">
                  <c:v>   11/12</c:v>
                </c:pt>
                <c:pt idx="154">
                  <c:v>   12/12</c:v>
                </c:pt>
                <c:pt idx="155">
                  <c:v>   01/13</c:v>
                </c:pt>
                <c:pt idx="156">
                  <c:v>   02/13</c:v>
                </c:pt>
                <c:pt idx="157">
                  <c:v>   03/13</c:v>
                </c:pt>
                <c:pt idx="158">
                  <c:v>   04/13</c:v>
                </c:pt>
                <c:pt idx="159">
                  <c:v>   05/13</c:v>
                </c:pt>
                <c:pt idx="160">
                  <c:v>   06/13</c:v>
                </c:pt>
                <c:pt idx="161">
                  <c:v>   07/13</c:v>
                </c:pt>
                <c:pt idx="162">
                  <c:v>   08/13</c:v>
                </c:pt>
                <c:pt idx="163">
                  <c:v>   09/13</c:v>
                </c:pt>
                <c:pt idx="164">
                  <c:v>   10/13</c:v>
                </c:pt>
                <c:pt idx="165">
                  <c:v>   11/13</c:v>
                </c:pt>
                <c:pt idx="166">
                  <c:v>   12/13</c:v>
                </c:pt>
                <c:pt idx="167">
                  <c:v>   01/2014</c:v>
                </c:pt>
                <c:pt idx="168">
                  <c:v>   02/14</c:v>
                </c:pt>
                <c:pt idx="169">
                  <c:v>   03/14</c:v>
                </c:pt>
                <c:pt idx="170">
                  <c:v>   04/14</c:v>
                </c:pt>
                <c:pt idx="171">
                  <c:v>   05/14</c:v>
                </c:pt>
                <c:pt idx="172">
                  <c:v>   06/14</c:v>
                </c:pt>
                <c:pt idx="173">
                  <c:v>   07/14</c:v>
                </c:pt>
                <c:pt idx="174">
                  <c:v>   08/14</c:v>
                </c:pt>
                <c:pt idx="175">
                  <c:v>   09/14</c:v>
                </c:pt>
                <c:pt idx="176">
                  <c:v>   10/14</c:v>
                </c:pt>
                <c:pt idx="177">
                  <c:v>   11/14</c:v>
                </c:pt>
                <c:pt idx="178">
                  <c:v>   12/14</c:v>
                </c:pt>
                <c:pt idx="179">
                  <c:v>   01/15</c:v>
                </c:pt>
                <c:pt idx="180">
                  <c:v>   02/15</c:v>
                </c:pt>
                <c:pt idx="181">
                  <c:v>   03/15</c:v>
                </c:pt>
                <c:pt idx="182">
                  <c:v>   04/15</c:v>
                </c:pt>
                <c:pt idx="183">
                  <c:v>   05/15 - </c:v>
                </c:pt>
                <c:pt idx="184">
                  <c:v>   06/15</c:v>
                </c:pt>
                <c:pt idx="185">
                  <c:v>   07/15</c:v>
                </c:pt>
                <c:pt idx="186">
                  <c:v>   08/15</c:v>
                </c:pt>
                <c:pt idx="187">
                  <c:v>   09/15</c:v>
                </c:pt>
                <c:pt idx="188">
                  <c:v>   10/15</c:v>
                </c:pt>
                <c:pt idx="189">
                  <c:v>   11/15</c:v>
                </c:pt>
                <c:pt idx="190">
                  <c:v>   12/15</c:v>
                </c:pt>
                <c:pt idx="191">
                  <c:v>   01/16</c:v>
                </c:pt>
                <c:pt idx="192">
                  <c:v>   02/16</c:v>
                </c:pt>
                <c:pt idx="193">
                  <c:v>   03/16</c:v>
                </c:pt>
                <c:pt idx="194">
                  <c:v>   04/16</c:v>
                </c:pt>
                <c:pt idx="195">
                  <c:v>   05/16</c:v>
                </c:pt>
                <c:pt idx="196">
                  <c:v>   06/16</c:v>
                </c:pt>
                <c:pt idx="197">
                  <c:v>   07/16</c:v>
                </c:pt>
                <c:pt idx="198">
                  <c:v>   08/16</c:v>
                </c:pt>
                <c:pt idx="199">
                  <c:v>   09/16</c:v>
                </c:pt>
                <c:pt idx="200">
                  <c:v>   10/16</c:v>
                </c:pt>
                <c:pt idx="201">
                  <c:v>   11/16</c:v>
                </c:pt>
                <c:pt idx="202">
                  <c:v>   12/16</c:v>
                </c:pt>
                <c:pt idx="203">
                  <c:v>   01/17</c:v>
                </c:pt>
                <c:pt idx="204">
                  <c:v>   02/17</c:v>
                </c:pt>
                <c:pt idx="205">
                  <c:v>   03/17</c:v>
                </c:pt>
                <c:pt idx="206">
                  <c:v>   04/17</c:v>
                </c:pt>
                <c:pt idx="207">
                  <c:v>   05/17</c:v>
                </c:pt>
                <c:pt idx="208">
                  <c:v>   06/17</c:v>
                </c:pt>
                <c:pt idx="209">
                  <c:v>   07/17</c:v>
                </c:pt>
                <c:pt idx="210">
                  <c:v>   08/17</c:v>
                </c:pt>
                <c:pt idx="211">
                  <c:v>   09/17</c:v>
                </c:pt>
                <c:pt idx="212">
                  <c:v>   10/17</c:v>
                </c:pt>
                <c:pt idx="213">
                  <c:v>   11/17</c:v>
                </c:pt>
                <c:pt idx="214">
                  <c:v>   12/17</c:v>
                </c:pt>
                <c:pt idx="215">
                  <c:v>   01/18</c:v>
                </c:pt>
                <c:pt idx="216">
                  <c:v>   02/18</c:v>
                </c:pt>
                <c:pt idx="217">
                  <c:v>   03/18</c:v>
                </c:pt>
                <c:pt idx="218">
                  <c:v>   04/18</c:v>
                </c:pt>
                <c:pt idx="219">
                  <c:v>   05/18</c:v>
                </c:pt>
                <c:pt idx="220">
                  <c:v>   06/18</c:v>
                </c:pt>
                <c:pt idx="221">
                  <c:v>   07/18</c:v>
                </c:pt>
                <c:pt idx="222">
                  <c:v>   08/18</c:v>
                </c:pt>
                <c:pt idx="223">
                  <c:v>   09/18</c:v>
                </c:pt>
                <c:pt idx="224">
                  <c:v>   10/18</c:v>
                </c:pt>
                <c:pt idx="225">
                  <c:v>   11/18</c:v>
                </c:pt>
                <c:pt idx="226">
                  <c:v>   12/18</c:v>
                </c:pt>
                <c:pt idx="227">
                  <c:v>   01/19</c:v>
                </c:pt>
                <c:pt idx="228">
                  <c:v>   02/19</c:v>
                </c:pt>
                <c:pt idx="229">
                  <c:v>   03/19</c:v>
                </c:pt>
                <c:pt idx="230">
                  <c:v>   04/19</c:v>
                </c:pt>
                <c:pt idx="231">
                  <c:v>   05/19</c:v>
                </c:pt>
                <c:pt idx="232">
                  <c:v>   06/19</c:v>
                </c:pt>
                <c:pt idx="233">
                  <c:v>   07/19</c:v>
                </c:pt>
                <c:pt idx="234">
                  <c:v>   08/19</c:v>
                </c:pt>
                <c:pt idx="235">
                  <c:v>   09/19</c:v>
                </c:pt>
                <c:pt idx="236">
                  <c:v>   10/19</c:v>
                </c:pt>
                <c:pt idx="237">
                  <c:v>   11/19</c:v>
                </c:pt>
                <c:pt idx="238">
                  <c:v>   12/19</c:v>
                </c:pt>
                <c:pt idx="239">
                  <c:v>   01/20</c:v>
                </c:pt>
                <c:pt idx="240">
                  <c:v>   02/20</c:v>
                </c:pt>
                <c:pt idx="241">
                  <c:v>   03/20</c:v>
                </c:pt>
                <c:pt idx="242">
                  <c:v>   04/20</c:v>
                </c:pt>
                <c:pt idx="243">
                  <c:v>   05/20</c:v>
                </c:pt>
                <c:pt idx="244">
                  <c:v>   06/20</c:v>
                </c:pt>
                <c:pt idx="245">
                  <c:v>   07/20</c:v>
                </c:pt>
                <c:pt idx="246">
                  <c:v>   08/20</c:v>
                </c:pt>
                <c:pt idx="247">
                  <c:v>   09/20</c:v>
                </c:pt>
                <c:pt idx="248">
                  <c:v>   10/20</c:v>
                </c:pt>
                <c:pt idx="249">
                  <c:v>   11/20</c:v>
                </c:pt>
                <c:pt idx="250">
                  <c:v>   12/20</c:v>
                </c:pt>
                <c:pt idx="251">
                  <c:v>   01/21</c:v>
                </c:pt>
                <c:pt idx="252">
                  <c:v>   02/21</c:v>
                </c:pt>
                <c:pt idx="253">
                  <c:v>   03/21</c:v>
                </c:pt>
                <c:pt idx="254">
                  <c:v>   04/21</c:v>
                </c:pt>
                <c:pt idx="255">
                  <c:v>   05/21</c:v>
                </c:pt>
                <c:pt idx="256">
                  <c:v>   06/21</c:v>
                </c:pt>
                <c:pt idx="257">
                  <c:v>   07/21</c:v>
                </c:pt>
                <c:pt idx="258">
                  <c:v>   08/21</c:v>
                </c:pt>
                <c:pt idx="259">
                  <c:v>   09/21</c:v>
                </c:pt>
                <c:pt idx="260">
                  <c:v>   10/21</c:v>
                </c:pt>
                <c:pt idx="261">
                  <c:v>   11/21</c:v>
                </c:pt>
                <c:pt idx="262">
                  <c:v>   12/21</c:v>
                </c:pt>
                <c:pt idx="263">
                  <c:v>   01/22</c:v>
                </c:pt>
                <c:pt idx="264">
                  <c:v>   02/22</c:v>
                </c:pt>
                <c:pt idx="265">
                  <c:v>   03/22</c:v>
                </c:pt>
                <c:pt idx="266">
                  <c:v>   04/22</c:v>
                </c:pt>
                <c:pt idx="267">
                  <c:v>   05/22</c:v>
                </c:pt>
                <c:pt idx="268">
                  <c:v>   06/22</c:v>
                </c:pt>
                <c:pt idx="269">
                  <c:v>   07/22</c:v>
                </c:pt>
                <c:pt idx="270">
                  <c:v>   08/22</c:v>
                </c:pt>
                <c:pt idx="271">
                  <c:v>   09/22</c:v>
                </c:pt>
                <c:pt idx="272">
                  <c:v>   10/22</c:v>
                </c:pt>
              </c:strCache>
            </c:strRef>
          </c:cat>
          <c:val>
            <c:numRef>
              <c:f>'Data for Graph 2'!$E$3:$E$275</c:f>
              <c:numCache>
                <c:ptCount val="273"/>
                <c:pt idx="0">
                  <c:v>1</c:v>
                </c:pt>
                <c:pt idx="1">
                  <c:v>1.0066111111111111</c:v>
                </c:pt>
                <c:pt idx="2">
                  <c:v>0.9927777777777778</c:v>
                </c:pt>
                <c:pt idx="3">
                  <c:v>0.9751666666666666</c:v>
                </c:pt>
                <c:pt idx="4">
                  <c:v>0.9831666666666665</c:v>
                </c:pt>
                <c:pt idx="5">
                  <c:v>0.9973333333333332</c:v>
                </c:pt>
                <c:pt idx="6">
                  <c:v>1.0546666666666664</c:v>
                </c:pt>
                <c:pt idx="7">
                  <c:v>1.0603888888888886</c:v>
                </c:pt>
                <c:pt idx="8">
                  <c:v>1.0751111111111107</c:v>
                </c:pt>
                <c:pt idx="9">
                  <c:v>1.0269999999999997</c:v>
                </c:pt>
                <c:pt idx="10">
                  <c:v>1.0618888888888884</c:v>
                </c:pt>
                <c:pt idx="11">
                  <c:v>1.1046111111111105</c:v>
                </c:pt>
                <c:pt idx="12">
                  <c:v>1.0631666666666661</c:v>
                </c:pt>
                <c:pt idx="13">
                  <c:v>1.0451111111111107</c:v>
                </c:pt>
                <c:pt idx="14">
                  <c:v>1.0983333333333327</c:v>
                </c:pt>
                <c:pt idx="15">
                  <c:v>1.1155996069892182</c:v>
                </c:pt>
                <c:pt idx="16">
                  <c:v>1.1148996229220878</c:v>
                </c:pt>
                <c:pt idx="17">
                  <c:v>1.1310575884716834</c:v>
                </c:pt>
                <c:pt idx="18">
                  <c:v>1.1058581620549857</c:v>
                </c:pt>
                <c:pt idx="19">
                  <c:v>1.0135185971993552</c:v>
                </c:pt>
                <c:pt idx="20">
                  <c:v>1.0429179280188359</c:v>
                </c:pt>
                <c:pt idx="21">
                  <c:v>1.0974000212438257</c:v>
                </c:pt>
                <c:pt idx="22">
                  <c:v>1.1304159364101471</c:v>
                </c:pt>
                <c:pt idx="23">
                  <c:v>1.1133829907766386</c:v>
                </c:pt>
                <c:pt idx="24">
                  <c:v>1.0946000849753037</c:v>
                </c:pt>
                <c:pt idx="25">
                  <c:v>1.1356658169136258</c:v>
                </c:pt>
                <c:pt idx="26">
                  <c:v>1.104516525926319</c:v>
                </c:pt>
                <c:pt idx="27">
                  <c:v>1.0934723445584917</c:v>
                </c:pt>
                <c:pt idx="28">
                  <c:v>1.0460610759917053</c:v>
                </c:pt>
                <c:pt idx="29">
                  <c:v>0.9836454630276479</c:v>
                </c:pt>
                <c:pt idx="30">
                  <c:v>0.9959441059762307</c:v>
                </c:pt>
                <c:pt idx="31">
                  <c:v>0.9422605295056671</c:v>
                </c:pt>
                <c:pt idx="32">
                  <c:v>0.9498856881337885</c:v>
                </c:pt>
                <c:pt idx="33">
                  <c:v>0.9733146029508386</c:v>
                </c:pt>
                <c:pt idx="34">
                  <c:v>0.9562809824670515</c:v>
                </c:pt>
                <c:pt idx="35">
                  <c:v>0.9455811631017845</c:v>
                </c:pt>
                <c:pt idx="36">
                  <c:v>0.9328520676500014</c:v>
                </c:pt>
                <c:pt idx="37">
                  <c:v>0.951730484576076</c:v>
                </c:pt>
                <c:pt idx="38">
                  <c:v>0.9975429295595467</c:v>
                </c:pt>
                <c:pt idx="39">
                  <c:v>1.0536477171456209</c:v>
                </c:pt>
                <c:pt idx="40">
                  <c:v>1.0670144559731716</c:v>
                </c:pt>
                <c:pt idx="41">
                  <c:v>1.0834807284418935</c:v>
                </c:pt>
                <c:pt idx="42">
                  <c:v>1.1082124239537385</c:v>
                </c:pt>
                <c:pt idx="43">
                  <c:v>1.106339789045531</c:v>
                </c:pt>
                <c:pt idx="44">
                  <c:v>1.1434050455045361</c:v>
                </c:pt>
                <c:pt idx="45">
                  <c:v>1.1750461180914917</c:v>
                </c:pt>
                <c:pt idx="46">
                  <c:v>1.2090118409093258</c:v>
                </c:pt>
                <c:pt idx="47">
                  <c:v>1.2299982666047555</c:v>
                </c:pt>
                <c:pt idx="48">
                  <c:v>1.2375533798551102</c:v>
                </c:pt>
                <c:pt idx="49">
                  <c:v>1.2454959348106112</c:v>
                </c:pt>
                <c:pt idx="50">
                  <c:v>1.2108844758175332</c:v>
                </c:pt>
                <c:pt idx="51">
                  <c:v>1.2137902886061311</c:v>
                </c:pt>
                <c:pt idx="52">
                  <c:v>1.241265051119498</c:v>
                </c:pt>
                <c:pt idx="53">
                  <c:v>1.1928532467403772</c:v>
                </c:pt>
                <c:pt idx="54">
                  <c:v>1.1925809835171555</c:v>
                </c:pt>
                <c:pt idx="55">
                  <c:v>1.210958751084625</c:v>
                </c:pt>
                <c:pt idx="56">
                  <c:v>1.2189224503638616</c:v>
                </c:pt>
                <c:pt idx="57">
                  <c:v>1.273504011644411</c:v>
                </c:pt>
                <c:pt idx="58">
                  <c:v>1.3161462860602393</c:v>
                </c:pt>
                <c:pt idx="59">
                  <c:v>1.2922511451136642</c:v>
                </c:pt>
                <c:pt idx="60">
                  <c:v>1.3137245591423263</c:v>
                </c:pt>
                <c:pt idx="61">
                  <c:v>1.3048791422212664</c:v>
                </c:pt>
                <c:pt idx="62">
                  <c:v>1.2572243657343136</c:v>
                </c:pt>
                <c:pt idx="63">
                  <c:v>1.282745034757306</c:v>
                </c:pt>
                <c:pt idx="64">
                  <c:v>1.3094725758409878</c:v>
                </c:pt>
                <c:pt idx="65">
                  <c:v>1.353508573938248</c:v>
                </c:pt>
                <c:pt idx="66">
                  <c:v>1.3437791640555985</c:v>
                </c:pt>
                <c:pt idx="67">
                  <c:v>1.3364950865415683</c:v>
                </c:pt>
                <c:pt idx="68">
                  <c:v>1.3086902641814995</c:v>
                </c:pt>
                <c:pt idx="69">
                  <c:v>1.3710741736426544</c:v>
                </c:pt>
                <c:pt idx="70">
                  <c:v>1.377592681268233</c:v>
                </c:pt>
                <c:pt idx="71">
                  <c:v>1.4399922915240957</c:v>
                </c:pt>
                <c:pt idx="72">
                  <c:v>1.443235909154501</c:v>
                </c:pt>
                <c:pt idx="73">
                  <c:v>1.4606183903538272</c:v>
                </c:pt>
                <c:pt idx="74">
                  <c:v>1.4734554376416606</c:v>
                </c:pt>
                <c:pt idx="75">
                  <c:v>1.4311574423158833</c:v>
                </c:pt>
                <c:pt idx="76">
                  <c:v>1.4286431750750965</c:v>
                </c:pt>
                <c:pt idx="77">
                  <c:v>1.4068420926934184</c:v>
                </c:pt>
                <c:pt idx="78">
                  <c:v>1.422527045903069</c:v>
                </c:pt>
                <c:pt idx="79">
                  <c:v>1.4347809526576039</c:v>
                </c:pt>
                <c:pt idx="80">
                  <c:v>1.4628096769412133</c:v>
                </c:pt>
                <c:pt idx="81">
                  <c:v>1.4947318217729815</c:v>
                </c:pt>
                <c:pt idx="82">
                  <c:v>1.499149381610445</c:v>
                </c:pt>
                <c:pt idx="83">
                  <c:v>1.5136427733739415</c:v>
                </c:pt>
                <c:pt idx="84">
                  <c:v>1.5216173271879199</c:v>
                </c:pt>
                <c:pt idx="85">
                  <c:v>1.5323178207503116</c:v>
                </c:pt>
                <c:pt idx="86">
                  <c:v>1.5536015922317539</c:v>
                </c:pt>
                <c:pt idx="87">
                  <c:v>1.5935172441583925</c:v>
                </c:pt>
                <c:pt idx="88">
                  <c:v>1.5899468726065527</c:v>
                </c:pt>
                <c:pt idx="89">
                  <c:v>1.553996675795038</c:v>
                </c:pt>
                <c:pt idx="90">
                  <c:v>1.5532257920834136</c:v>
                </c:pt>
                <c:pt idx="91">
                  <c:v>1.591631481906136</c:v>
                </c:pt>
                <c:pt idx="92">
                  <c:v>1.6452731988940017</c:v>
                </c:pt>
                <c:pt idx="93">
                  <c:v>1.586020397480598</c:v>
                </c:pt>
                <c:pt idx="94">
                  <c:v>1.5810133519251486</c:v>
                </c:pt>
                <c:pt idx="95">
                  <c:v>1.5218668119008927</c:v>
                </c:pt>
                <c:pt idx="96">
                  <c:v>1.498808829375351</c:v>
                </c:pt>
                <c:pt idx="97">
                  <c:v>1.4711608935347744</c:v>
                </c:pt>
                <c:pt idx="98">
                  <c:v>1.5289338616903552</c:v>
                </c:pt>
                <c:pt idx="99">
                  <c:v>1.5475156211277834</c:v>
                </c:pt>
                <c:pt idx="100">
                  <c:v>1.4753863976217</c:v>
                </c:pt>
                <c:pt idx="101">
                  <c:v>1.4419569452903978</c:v>
                </c:pt>
                <c:pt idx="102">
                  <c:v>1.4543746487673166</c:v>
                </c:pt>
                <c:pt idx="103">
                  <c:v>1.3652118536486908</c:v>
                </c:pt>
                <c:pt idx="104">
                  <c:v>1.2471278209071466</c:v>
                </c:pt>
                <c:pt idx="105">
                  <c:v>1.193393845481296</c:v>
                </c:pt>
                <c:pt idx="106">
                  <c:v>1.2217507581296008</c:v>
                </c:pt>
                <c:pt idx="107">
                  <c:v>1.1694915294907784</c:v>
                </c:pt>
                <c:pt idx="108">
                  <c:v>1.1327163575427814</c:v>
                </c:pt>
                <c:pt idx="109">
                  <c:v>1.1702385264229502</c:v>
                </c:pt>
                <c:pt idx="110">
                  <c:v>1.2034371473708012</c:v>
                </c:pt>
                <c:pt idx="111">
                  <c:v>1.2543646186064363</c:v>
                </c:pt>
                <c:pt idx="112">
                  <c:v>1.2574715248414579</c:v>
                </c:pt>
                <c:pt idx="113">
                  <c:v>1.2868707068990586</c:v>
                </c:pt>
                <c:pt idx="114">
                  <c:v>1.2957650289504055</c:v>
                </c:pt>
                <c:pt idx="115">
                  <c:v>1.3200784112644415</c:v>
                </c:pt>
                <c:pt idx="116">
                  <c:v>1.291937951637323</c:v>
                </c:pt>
                <c:pt idx="117">
                  <c:v>1.330477364398076</c:v>
                </c:pt>
                <c:pt idx="118">
                  <c:v>1.354500121813491</c:v>
                </c:pt>
                <c:pt idx="119">
                  <c:v>1.323796983468515</c:v>
                </c:pt>
                <c:pt idx="120">
                  <c:v>1.3550632815771972</c:v>
                </c:pt>
                <c:pt idx="121">
                  <c:v>1.4061075133639163</c:v>
                </c:pt>
                <c:pt idx="122">
                  <c:v>1.4421027410007468</c:v>
                </c:pt>
                <c:pt idx="123">
                  <c:v>1.3657098396795468</c:v>
                </c:pt>
                <c:pt idx="124">
                  <c:v>1.343435629731562</c:v>
                </c:pt>
                <c:pt idx="125">
                  <c:v>1.3917580632302755</c:v>
                </c:pt>
                <c:pt idx="126">
                  <c:v>1.3661811094759255</c:v>
                </c:pt>
                <c:pt idx="127">
                  <c:v>1.4418351528722397</c:v>
                </c:pt>
                <c:pt idx="128">
                  <c:v>1.4656697355757864</c:v>
                </c:pt>
                <c:pt idx="129">
                  <c:v>1.4880434990431974</c:v>
                </c:pt>
                <c:pt idx="130">
                  <c:v>1.5493956473155195</c:v>
                </c:pt>
                <c:pt idx="131">
                  <c:v>1.569290662805641</c:v>
                </c:pt>
                <c:pt idx="132">
                  <c:v>1.6196104568077767</c:v>
                </c:pt>
                <c:pt idx="133">
                  <c:v>1.6266348088900948</c:v>
                </c:pt>
                <c:pt idx="134">
                  <c:v>1.6744689745253274</c:v>
                </c:pt>
                <c:pt idx="135">
                  <c:v>1.6485597514829933</c:v>
                </c:pt>
                <c:pt idx="136">
                  <c:v>1.6260625845569152</c:v>
                </c:pt>
                <c:pt idx="137">
                  <c:v>1.5872400245921836</c:v>
                </c:pt>
                <c:pt idx="138">
                  <c:v>1.5006363392713034</c:v>
                </c:pt>
                <c:pt idx="139">
                  <c:v>1.4249977677729944</c:v>
                </c:pt>
                <c:pt idx="140">
                  <c:v>1.5222116131217684</c:v>
                </c:pt>
                <c:pt idx="141">
                  <c:v>1.4930394469772679</c:v>
                </c:pt>
                <c:pt idx="142">
                  <c:v>1.5091477867431213</c:v>
                </c:pt>
                <c:pt idx="143">
                  <c:v>1.6078472656640168</c:v>
                </c:pt>
                <c:pt idx="144">
                  <c:v>1.6549908104407658</c:v>
                </c:pt>
                <c:pt idx="145">
                  <c:v>1.6899239713169127</c:v>
                </c:pt>
                <c:pt idx="146">
                  <c:v>1.6586600895810895</c:v>
                </c:pt>
                <c:pt idx="147">
                  <c:v>1.5695889087817552</c:v>
                </c:pt>
                <c:pt idx="148">
                  <c:v>1.5928156279036239</c:v>
                </c:pt>
                <c:pt idx="149">
                  <c:v>1.6049166941941424</c:v>
                </c:pt>
                <c:pt idx="150">
                  <c:v>1.6390549394241518</c:v>
                </c:pt>
                <c:pt idx="151">
                  <c:v>1.6665937120496985</c:v>
                </c:pt>
                <c:pt idx="152">
                  <c:v>1.642092167831273</c:v>
                </c:pt>
                <c:pt idx="153">
                  <c:v>1.6499852189207476</c:v>
                </c:pt>
                <c:pt idx="154">
                  <c:v>1.6707648333942782</c:v>
                </c:pt>
                <c:pt idx="155">
                  <c:v>1.7532382320632802</c:v>
                </c:pt>
                <c:pt idx="156">
                  <c:v>1.7432869967735267</c:v>
                </c:pt>
                <c:pt idx="157">
                  <c:v>1.783022282957231</c:v>
                </c:pt>
                <c:pt idx="158">
                  <c:v>1.8090915044089417</c:v>
                </c:pt>
                <c:pt idx="159">
                  <c:v>1.8613604992560953</c:v>
                </c:pt>
                <c:pt idx="160">
                  <c:v>1.8209292363004506</c:v>
                </c:pt>
                <c:pt idx="161">
                  <c:v>1.9179251281614862</c:v>
                </c:pt>
                <c:pt idx="162">
                  <c:v>1.879246507745681</c:v>
                </c:pt>
                <c:pt idx="163">
                  <c:v>1.9577079555156331</c:v>
                </c:pt>
                <c:pt idx="164">
                  <c:v>2.0271867942320942</c:v>
                </c:pt>
                <c:pt idx="165">
                  <c:v>2.0945604783200875</c:v>
                </c:pt>
                <c:pt idx="166">
                  <c:v>2.1263423634957372</c:v>
                </c:pt>
                <c:pt idx="167">
                  <c:v>2.0654347515367353</c:v>
                </c:pt>
                <c:pt idx="168">
                  <c:v>2.1520307197124184</c:v>
                </c:pt>
                <c:pt idx="169">
                  <c:v>2.160868085439967</c:v>
                </c:pt>
                <c:pt idx="170">
                  <c:v>2.1307394787739256</c:v>
                </c:pt>
                <c:pt idx="171">
                  <c:v>2.163840205239019</c:v>
                </c:pt>
                <c:pt idx="172">
                  <c:v>2.2324555200992844</c:v>
                </c:pt>
                <c:pt idx="173">
                  <c:v>2.1616845243717213</c:v>
                </c:pt>
                <c:pt idx="174">
                  <c:v>2.230932645932326</c:v>
                </c:pt>
                <c:pt idx="175">
                  <c:v>2.1593129744266033</c:v>
                </c:pt>
                <c:pt idx="176">
                  <c:v>2.209684569667513</c:v>
                </c:pt>
                <c:pt idx="177">
                  <c:v>2.221239271169201</c:v>
                </c:pt>
                <c:pt idx="178">
                  <c:v>2.223785666622281</c:v>
                </c:pt>
                <c:pt idx="179">
                  <c:v>2.1775055580416174</c:v>
                </c:pt>
                <c:pt idx="180">
                  <c:v>2.28096068907632</c:v>
                </c:pt>
                <c:pt idx="181">
                  <c:v>2.259842504542203</c:v>
                </c:pt>
                <c:pt idx="182">
                  <c:v>2.249214639059059</c:v>
                </c:pt>
                <c:pt idx="183">
                  <c:v>2.2510460459026453</c:v>
                </c:pt>
                <c:pt idx="184">
                  <c:v>2.2143037560227925</c:v>
                </c:pt>
                <c:pt idx="185">
                  <c:v>2.2303732028765686</c:v>
                </c:pt>
                <c:pt idx="186">
                  <c:v>2.129196054051863</c:v>
                </c:pt>
                <c:pt idx="187">
                  <c:v>2.071528516921267</c:v>
                </c:pt>
                <c:pt idx="188">
                  <c:v>2.156263734001708</c:v>
                </c:pt>
                <c:pt idx="189">
                  <c:v>2.1736909906474047</c:v>
                </c:pt>
                <c:pt idx="190">
                  <c:v>2.1055716706654257</c:v>
                </c:pt>
                <c:pt idx="191">
                  <c:v>2.0070160626572324</c:v>
                </c:pt>
                <c:pt idx="192">
                  <c:v>2.006575318508443</c:v>
                </c:pt>
                <c:pt idx="193">
                  <c:v>2.117296657394382</c:v>
                </c:pt>
                <c:pt idx="194">
                  <c:v>2.139344990591408</c:v>
                </c:pt>
                <c:pt idx="195">
                  <c:v>2.162297333811426</c:v>
                </c:pt>
                <c:pt idx="196">
                  <c:v>2.1765450831748865</c:v>
                </c:pt>
                <c:pt idx="197">
                  <c:v>2.2594646797644926</c:v>
                </c:pt>
                <c:pt idx="198">
                  <c:v>2.2729587342232107</c:v>
                </c:pt>
                <c:pt idx="199">
                  <c:v>2.264447910276123</c:v>
                </c:pt>
                <c:pt idx="200">
                  <c:v>2.2248547185321743</c:v>
                </c:pt>
                <c:pt idx="201">
                  <c:v>2.3078228175675526</c:v>
                </c:pt>
                <c:pt idx="202">
                  <c:v>2.3526546812400606</c:v>
                </c:pt>
                <c:pt idx="203">
                  <c:v>2.374258263074874</c:v>
                </c:pt>
                <c:pt idx="204">
                  <c:v>2.42485772000595</c:v>
                </c:pt>
                <c:pt idx="205">
                  <c:v>2.4194937380987986</c:v>
                </c:pt>
                <c:pt idx="206">
                  <c:v>2.4417287512547228</c:v>
                </c:pt>
                <c:pt idx="207">
                  <c:v>2.42682085569275</c:v>
                </c:pt>
                <c:pt idx="208">
                  <c:v>2.4661282204643498</c:v>
                </c:pt>
                <c:pt idx="209">
                  <c:v>2.5011638792707993</c:v>
                </c:pt>
                <c:pt idx="210">
                  <c:v>2.488924886629297</c:v>
                </c:pt>
                <c:pt idx="211">
                  <c:v>2.5510107586732707</c:v>
                </c:pt>
                <c:pt idx="212">
                  <c:v>2.594704764221387</c:v>
                </c:pt>
                <c:pt idx="213">
                  <c:v>2.6648139770075994</c:v>
                </c:pt>
                <c:pt idx="214">
                  <c:v>2.669658401068257</c:v>
                </c:pt>
                <c:pt idx="215">
                  <c:v>2.75065793961358</c:v>
                </c:pt>
                <c:pt idx="216">
                  <c:v>2.660514408057877</c:v>
                </c:pt>
                <c:pt idx="217">
                  <c:v>2.6344073846102063</c:v>
                </c:pt>
                <c:pt idx="218">
                  <c:v>2.628394993293411</c:v>
                </c:pt>
                <c:pt idx="219">
                  <c:v>2.689520042682775</c:v>
                </c:pt>
                <c:pt idx="220">
                  <c:v>2.6983160358397833</c:v>
                </c:pt>
                <c:pt idx="221">
                  <c:v>2.745969222087778</c:v>
                </c:pt>
                <c:pt idx="222">
                  <c:v>2.801215302776425</c:v>
                </c:pt>
                <c:pt idx="223">
                  <c:v>2.7974674135696342</c:v>
                </c:pt>
                <c:pt idx="224">
                  <c:v>2.6122435176846865</c:v>
                </c:pt>
                <c:pt idx="225">
                  <c:v>2.6311440923341562</c:v>
                </c:pt>
                <c:pt idx="226">
                  <c:v>2.448048587100026</c:v>
                </c:pt>
                <c:pt idx="227">
                  <c:v>2.608668466979551</c:v>
                </c:pt>
                <c:pt idx="228">
                  <c:v>2.6705121292675766</c:v>
                </c:pt>
                <c:pt idx="229">
                  <c:v>2.730581760055562</c:v>
                </c:pt>
                <c:pt idx="230">
                  <c:v>2.8101191438649753</c:v>
                </c:pt>
                <c:pt idx="231">
                  <c:v>2.6759600817925686</c:v>
                </c:pt>
                <c:pt idx="232">
                  <c:v>2.832549000603649</c:v>
                </c:pt>
                <c:pt idx="233">
                  <c:v>2.8646965013501964</c:v>
                </c:pt>
                <c:pt idx="234">
                  <c:v>2.878866647816604</c:v>
                </c:pt>
                <c:pt idx="235">
                  <c:v>2.87798487398666</c:v>
                </c:pt>
                <c:pt idx="236">
                  <c:v>2.9167479936094516</c:v>
                </c:pt>
                <c:pt idx="237">
                  <c:v>3.0073958589525294</c:v>
                </c:pt>
                <c:pt idx="238">
                  <c:v>3.045801972455573</c:v>
                </c:pt>
                <c:pt idx="239">
                  <c:v>3.0611793488469132</c:v>
                </c:pt>
                <c:pt idx="240">
                  <c:v>2.870487397851583</c:v>
                </c:pt>
                <c:pt idx="241">
                  <c:v>2.5313437647087644</c:v>
                </c:pt>
                <c:pt idx="242">
                  <c:v>2.7993228060400943</c:v>
                </c:pt>
                <c:pt idx="243">
                  <c:v>2.953178796814182</c:v>
                </c:pt>
                <c:pt idx="244">
                  <c:v>3.062919540249454</c:v>
                </c:pt>
                <c:pt idx="245">
                  <c:v>3.217087430373285</c:v>
                </c:pt>
                <c:pt idx="246">
                  <c:v>3.437879255696154</c:v>
                </c:pt>
                <c:pt idx="247">
                  <c:v>3.314696401781512</c:v>
                </c:pt>
                <c:pt idx="248">
                  <c:v>3.2744695851107166</c:v>
                </c:pt>
                <c:pt idx="249">
                  <c:v>3.564755646876769</c:v>
                </c:pt>
                <c:pt idx="250">
                  <c:v>3.6928666736324227</c:v>
                </c:pt>
                <c:pt idx="251">
                  <c:v>3.7181393757805687</c:v>
                </c:pt>
                <c:pt idx="252">
                  <c:v>3.8386293306727346</c:v>
                </c:pt>
                <c:pt idx="253">
                  <c:v>3.87869620717455</c:v>
                </c:pt>
                <c:pt idx="254">
                  <c:v>4.044429670641267</c:v>
                </c:pt>
                <c:pt idx="255">
                  <c:v>4.12754990069745</c:v>
                </c:pt>
                <c:pt idx="256">
                  <c:v>4.206498214801586</c:v>
                </c:pt>
                <c:pt idx="257">
                  <c:v>4.183272344854198</c:v>
                </c:pt>
                <c:pt idx="258">
                  <c:v>4.233118014552168</c:v>
                </c:pt>
                <c:pt idx="259">
                  <c:v>4.111729674187075</c:v>
                </c:pt>
                <c:pt idx="260">
                  <c:v>4.3132671469783475</c:v>
                </c:pt>
                <c:pt idx="261">
                  <c:v>4.199942371843535</c:v>
                </c:pt>
                <c:pt idx="262">
                  <c:v>4.328874071383927</c:v>
                </c:pt>
                <c:pt idx="263">
                  <c:v>4.077282796955613</c:v>
                </c:pt>
                <c:pt idx="264">
                  <c:v>3.95272600426831</c:v>
                </c:pt>
                <c:pt idx="265">
                  <c:v>4.051322433638398</c:v>
                </c:pt>
                <c:pt idx="266">
                  <c:v>3.7143782185724565</c:v>
                </c:pt>
                <c:pt idx="267">
                  <c:v>3.728090313951752</c:v>
                </c:pt>
                <c:pt idx="268">
                  <c:v>3.482077316681165</c:v>
                </c:pt>
                <c:pt idx="269">
                  <c:v>3.739322153207342</c:v>
                </c:pt>
                <c:pt idx="270">
                  <c:v>3.6269073556982288</c:v>
                </c:pt>
                <c:pt idx="271">
                  <c:v>3.312847060805264</c:v>
                </c:pt>
                <c:pt idx="272">
                  <c:v>3.487799520459853</c:v>
                </c:pt>
              </c:numCache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At val="1"/>
        <c:auto val="1"/>
        <c:lblOffset val="100"/>
        <c:tickLblSkip val="12"/>
        <c:tickMarkSkip val="6"/>
        <c:noMultiLvlLbl val="0"/>
      </c:catAx>
      <c:valAx>
        <c:axId val="16490907"/>
        <c:scaling>
          <c:orientation val="minMax"/>
          <c:max val="6"/>
          <c:min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midCat"/>
        <c:dispUnits/>
        <c:majorUnit val="0.25"/>
        <c:minorUnit val="0.01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267"/>
          <c:w val="0.17075"/>
          <c:h val="0.12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0F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MPSIF Fund Performance</a:t>
            </a:r>
          </a:p>
        </c:rich>
      </c:tx>
      <c:layout>
        <c:manualLayout>
          <c:xMode val="factor"/>
          <c:yMode val="factor"/>
          <c:x val="-0.209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325"/>
          <c:w val="0.75525"/>
          <c:h val="0.81025"/>
        </c:manualLayout>
      </c:layout>
      <c:lineChart>
        <c:grouping val="standard"/>
        <c:varyColors val="0"/>
        <c:ser>
          <c:idx val="0"/>
          <c:order val="0"/>
          <c:tx>
            <c:v>Growth and Income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cat>
            <c:strRef>
              <c:f>Sheet1!$B$9:$B$13</c:f>
              <c:strCache>
                <c:ptCount val="5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</c:strCache>
            </c:strRef>
          </c:cat>
          <c:val>
            <c:numRef>
              <c:f>Sheet1!$C$9:$C$13</c:f>
              <c:numCache>
                <c:ptCount val="5"/>
                <c:pt idx="0">
                  <c:v>600000</c:v>
                </c:pt>
                <c:pt idx="1">
                  <c:v>604500</c:v>
                </c:pt>
                <c:pt idx="2">
                  <c:v>592100</c:v>
                </c:pt>
                <c:pt idx="3">
                  <c:v>564100</c:v>
                </c:pt>
                <c:pt idx="4">
                  <c:v>576500</c:v>
                </c:pt>
              </c:numCache>
            </c:numRef>
          </c:val>
          <c:smooth val="0"/>
        </c:ser>
        <c:ser>
          <c:idx val="1"/>
          <c:order val="1"/>
          <c:tx>
            <c:v>Small Cap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Sheet1!$B$9:$B$13</c:f>
              <c:strCache>
                <c:ptCount val="5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</c:strCache>
            </c:strRef>
          </c:cat>
          <c:val>
            <c:numRef>
              <c:f>Sheet1!$D$9:$D$13</c:f>
              <c:numCache>
                <c:ptCount val="5"/>
                <c:pt idx="0">
                  <c:v>600000</c:v>
                </c:pt>
                <c:pt idx="1">
                  <c:v>594800</c:v>
                </c:pt>
                <c:pt idx="2">
                  <c:v>578600</c:v>
                </c:pt>
                <c:pt idx="3">
                  <c:v>558200</c:v>
                </c:pt>
                <c:pt idx="4">
                  <c:v>573000</c:v>
                </c:pt>
              </c:numCache>
            </c:numRef>
          </c:val>
          <c:smooth val="0"/>
        </c:ser>
        <c:ser>
          <c:idx val="2"/>
          <c:order val="2"/>
          <c:tx>
            <c:v>Value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Sheet1!$B$9:$B$13</c:f>
              <c:strCache>
                <c:ptCount val="5"/>
                <c:pt idx="0">
                  <c:v>   03/01/2000</c:v>
                </c:pt>
                <c:pt idx="1">
                  <c:v>   03/00</c:v>
                </c:pt>
                <c:pt idx="2">
                  <c:v>   04/00</c:v>
                </c:pt>
                <c:pt idx="3">
                  <c:v>   05/00</c:v>
                </c:pt>
                <c:pt idx="4">
                  <c:v>   06/00</c:v>
                </c:pt>
              </c:strCache>
            </c:strRef>
          </c:cat>
          <c:val>
            <c:numRef>
              <c:f>Sheet1!$E$9:$E$13</c:f>
              <c:numCache>
                <c:ptCount val="5"/>
                <c:pt idx="0">
                  <c:v>600000</c:v>
                </c:pt>
                <c:pt idx="1">
                  <c:v>612600</c:v>
                </c:pt>
                <c:pt idx="2">
                  <c:v>616300</c:v>
                </c:pt>
                <c:pt idx="3">
                  <c:v>633000</c:v>
                </c:pt>
                <c:pt idx="4">
                  <c:v>620200</c:v>
                </c:pt>
              </c:numCache>
            </c:numRef>
          </c:val>
          <c:smooth val="0"/>
        </c:ser>
        <c:marker val="1"/>
        <c:axId val="14200436"/>
        <c:axId val="60695061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700000"/>
          <c:min val="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8"/>
          <c:y val="0.16275"/>
          <c:w val="0.26025"/>
          <c:h val="0.15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0F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9572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Sheet1!$V$7</c:f>
              <c:strCache>
                <c:ptCount val="1"/>
                <c:pt idx="0">
                  <c:v>Growth 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Sheet1!$B$41:$B$75</c:f>
              <c:strCache>
                <c:ptCount val="35"/>
                <c:pt idx="0">
                  <c:v>   05/02</c:v>
                </c:pt>
                <c:pt idx="1">
                  <c:v>   06/02</c:v>
                </c:pt>
                <c:pt idx="2">
                  <c:v>   07/02</c:v>
                </c:pt>
                <c:pt idx="3">
                  <c:v>   08/02</c:v>
                </c:pt>
                <c:pt idx="4">
                  <c:v>   09/02</c:v>
                </c:pt>
                <c:pt idx="5">
                  <c:v>   10/02</c:v>
                </c:pt>
                <c:pt idx="6">
                  <c:v>   11/02</c:v>
                </c:pt>
                <c:pt idx="7">
                  <c:v>   12/02</c:v>
                </c:pt>
                <c:pt idx="8">
                  <c:v>   01/2003</c:v>
                </c:pt>
                <c:pt idx="9">
                  <c:v>   02/03</c:v>
                </c:pt>
                <c:pt idx="10">
                  <c:v>   03/03</c:v>
                </c:pt>
                <c:pt idx="11">
                  <c:v>   04/03</c:v>
                </c:pt>
                <c:pt idx="12">
                  <c:v>   05/03 - withdraw</c:v>
                </c:pt>
                <c:pt idx="13">
                  <c:v>   05/03 - after</c:v>
                </c:pt>
                <c:pt idx="14">
                  <c:v>   05/03</c:v>
                </c:pt>
                <c:pt idx="15">
                  <c:v>   06/03</c:v>
                </c:pt>
                <c:pt idx="16">
                  <c:v>   07/03</c:v>
                </c:pt>
                <c:pt idx="17">
                  <c:v>   08/03</c:v>
                </c:pt>
                <c:pt idx="18">
                  <c:v>   09/03</c:v>
                </c:pt>
                <c:pt idx="19">
                  <c:v>   10/03</c:v>
                </c:pt>
                <c:pt idx="20">
                  <c:v>   11/03</c:v>
                </c:pt>
                <c:pt idx="21">
                  <c:v>   12/03</c:v>
                </c:pt>
                <c:pt idx="22">
                  <c:v>   01/2004</c:v>
                </c:pt>
                <c:pt idx="23">
                  <c:v>   02/04</c:v>
                </c:pt>
                <c:pt idx="24">
                  <c:v>   03/04</c:v>
                </c:pt>
                <c:pt idx="25">
                  <c:v>   04/04</c:v>
                </c:pt>
                <c:pt idx="26">
                  <c:v>   05/04</c:v>
                </c:pt>
                <c:pt idx="27">
                  <c:v>   06/04 - withdraw</c:v>
                </c:pt>
                <c:pt idx="28">
                  <c:v>   06/04 - after</c:v>
                </c:pt>
                <c:pt idx="29">
                  <c:v>   06/04</c:v>
                </c:pt>
                <c:pt idx="30">
                  <c:v>   07/04</c:v>
                </c:pt>
                <c:pt idx="31">
                  <c:v>   08/04</c:v>
                </c:pt>
                <c:pt idx="32">
                  <c:v>   09/04</c:v>
                </c:pt>
                <c:pt idx="33">
                  <c:v>   10/04</c:v>
                </c:pt>
                <c:pt idx="34">
                  <c:v>   11/04</c:v>
                </c:pt>
              </c:strCache>
            </c:strRef>
          </c:cat>
          <c:val>
            <c:numRef>
              <c:f>Sheet1!$V$41:$V$75</c:f>
              <c:numCache>
                <c:ptCount val="35"/>
                <c:pt idx="0">
                  <c:v>0.16033067146552693</c:v>
                </c:pt>
                <c:pt idx="1">
                  <c:v>0.1481394391864088</c:v>
                </c:pt>
                <c:pt idx="2">
                  <c:v>0.14516129032258066</c:v>
                </c:pt>
                <c:pt idx="3">
                  <c:v>0.14392442578414424</c:v>
                </c:pt>
                <c:pt idx="4">
                  <c:v>0.13776675585720813</c:v>
                </c:pt>
                <c:pt idx="5">
                  <c:v>0.14747200103579983</c:v>
                </c:pt>
                <c:pt idx="6">
                  <c:v>0.1470811220621683</c:v>
                </c:pt>
                <c:pt idx="7">
                  <c:v>0.14069834737315928</c:v>
                </c:pt>
                <c:pt idx="8">
                  <c:v>0.14085972556415427</c:v>
                </c:pt>
                <c:pt idx="9">
                  <c:v>0.14047462096242583</c:v>
                </c:pt>
                <c:pt idx="10">
                  <c:v>0.14175873877366416</c:v>
                </c:pt>
                <c:pt idx="11">
                  <c:v>0.14683762791271113</c:v>
                </c:pt>
                <c:pt idx="14">
                  <c:v>0.14653428939143226</c:v>
                </c:pt>
                <c:pt idx="15">
                  <c:v>0.14409343984507383</c:v>
                </c:pt>
                <c:pt idx="16">
                  <c:v>0.1484593837535014</c:v>
                </c:pt>
                <c:pt idx="17">
                  <c:v>0.14567066775434098</c:v>
                </c:pt>
                <c:pt idx="18">
                  <c:v>0.14288215724041323</c:v>
                </c:pt>
                <c:pt idx="19">
                  <c:v>0.1445755915739538</c:v>
                </c:pt>
                <c:pt idx="20">
                  <c:v>0.14381491454635378</c:v>
                </c:pt>
                <c:pt idx="21">
                  <c:v>0.14249853121828768</c:v>
                </c:pt>
                <c:pt idx="22">
                  <c:v>0.14410961780764384</c:v>
                </c:pt>
                <c:pt idx="23">
                  <c:v>0.14354291677537176</c:v>
                </c:pt>
                <c:pt idx="24">
                  <c:v>0.14521982579842388</c:v>
                </c:pt>
                <c:pt idx="25">
                  <c:v>0.14398464163822525</c:v>
                </c:pt>
                <c:pt idx="26">
                  <c:v>0.14443794222482312</c:v>
                </c:pt>
                <c:pt idx="29">
                  <c:v>0.1417506340393447</c:v>
                </c:pt>
                <c:pt idx="30">
                  <c:v>0.13780313837375177</c:v>
                </c:pt>
                <c:pt idx="31">
                  <c:v>0.13800582158552593</c:v>
                </c:pt>
                <c:pt idx="32">
                  <c:v>0.13978978135012085</c:v>
                </c:pt>
                <c:pt idx="33">
                  <c:v>0.14239446057627875</c:v>
                </c:pt>
                <c:pt idx="34">
                  <c:v>0.14345351181572702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Small Cap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Sheet1!$B$41:$B$75</c:f>
              <c:strCache>
                <c:ptCount val="35"/>
                <c:pt idx="0">
                  <c:v>   05/02</c:v>
                </c:pt>
                <c:pt idx="1">
                  <c:v>   06/02</c:v>
                </c:pt>
                <c:pt idx="2">
                  <c:v>   07/02</c:v>
                </c:pt>
                <c:pt idx="3">
                  <c:v>   08/02</c:v>
                </c:pt>
                <c:pt idx="4">
                  <c:v>   09/02</c:v>
                </c:pt>
                <c:pt idx="5">
                  <c:v>   10/02</c:v>
                </c:pt>
                <c:pt idx="6">
                  <c:v>   11/02</c:v>
                </c:pt>
                <c:pt idx="7">
                  <c:v>   12/02</c:v>
                </c:pt>
                <c:pt idx="8">
                  <c:v>   01/2003</c:v>
                </c:pt>
                <c:pt idx="9">
                  <c:v>   02/03</c:v>
                </c:pt>
                <c:pt idx="10">
                  <c:v>   03/03</c:v>
                </c:pt>
                <c:pt idx="11">
                  <c:v>   04/03</c:v>
                </c:pt>
                <c:pt idx="12">
                  <c:v>   05/03 - withdraw</c:v>
                </c:pt>
                <c:pt idx="13">
                  <c:v>   05/03 - after</c:v>
                </c:pt>
                <c:pt idx="14">
                  <c:v>   05/03</c:v>
                </c:pt>
                <c:pt idx="15">
                  <c:v>   06/03</c:v>
                </c:pt>
                <c:pt idx="16">
                  <c:v>   07/03</c:v>
                </c:pt>
                <c:pt idx="17">
                  <c:v>   08/03</c:v>
                </c:pt>
                <c:pt idx="18">
                  <c:v>   09/03</c:v>
                </c:pt>
                <c:pt idx="19">
                  <c:v>   10/03</c:v>
                </c:pt>
                <c:pt idx="20">
                  <c:v>   11/03</c:v>
                </c:pt>
                <c:pt idx="21">
                  <c:v>   12/03</c:v>
                </c:pt>
                <c:pt idx="22">
                  <c:v>   01/2004</c:v>
                </c:pt>
                <c:pt idx="23">
                  <c:v>   02/04</c:v>
                </c:pt>
                <c:pt idx="24">
                  <c:v>   03/04</c:v>
                </c:pt>
                <c:pt idx="25">
                  <c:v>   04/04</c:v>
                </c:pt>
                <c:pt idx="26">
                  <c:v>   05/04</c:v>
                </c:pt>
                <c:pt idx="27">
                  <c:v>   06/04 - withdraw</c:v>
                </c:pt>
                <c:pt idx="28">
                  <c:v>   06/04 - after</c:v>
                </c:pt>
                <c:pt idx="29">
                  <c:v>   06/04</c:v>
                </c:pt>
                <c:pt idx="30">
                  <c:v>   07/04</c:v>
                </c:pt>
                <c:pt idx="31">
                  <c:v>   08/04</c:v>
                </c:pt>
                <c:pt idx="32">
                  <c:v>   09/04</c:v>
                </c:pt>
                <c:pt idx="33">
                  <c:v>   10/04</c:v>
                </c:pt>
                <c:pt idx="34">
                  <c:v>   11/04</c:v>
                </c:pt>
              </c:strCache>
            </c:strRef>
          </c:cat>
          <c:val>
            <c:numRef>
              <c:f>Sheet1!$W$41:$W$75</c:f>
              <c:numCache>
                <c:ptCount val="35"/>
                <c:pt idx="0">
                  <c:v>0.2758407378247666</c:v>
                </c:pt>
                <c:pt idx="1">
                  <c:v>0.28081829404502967</c:v>
                </c:pt>
                <c:pt idx="2">
                  <c:v>0.2708802200550138</c:v>
                </c:pt>
                <c:pt idx="3">
                  <c:v>0.2766115090145715</c:v>
                </c:pt>
                <c:pt idx="4">
                  <c:v>0.2816028192912615</c:v>
                </c:pt>
                <c:pt idx="5">
                  <c:v>0.2776590923803975</c:v>
                </c:pt>
                <c:pt idx="6">
                  <c:v>0.2798837503158959</c:v>
                </c:pt>
                <c:pt idx="7">
                  <c:v>0.2777956401517587</c:v>
                </c:pt>
                <c:pt idx="8">
                  <c:v>0.2723548156337387</c:v>
                </c:pt>
                <c:pt idx="9">
                  <c:v>0.27211601845748185</c:v>
                </c:pt>
                <c:pt idx="10">
                  <c:v>0.2753117529236932</c:v>
                </c:pt>
                <c:pt idx="11">
                  <c:v>0.27832573048945874</c:v>
                </c:pt>
                <c:pt idx="14">
                  <c:v>0.2863271434700006</c:v>
                </c:pt>
                <c:pt idx="15">
                  <c:v>0.2869765190026628</c:v>
                </c:pt>
                <c:pt idx="16">
                  <c:v>0.2917933130699088</c:v>
                </c:pt>
                <c:pt idx="17">
                  <c:v>0.2957114555413122</c:v>
                </c:pt>
                <c:pt idx="18">
                  <c:v>0.2909006011790113</c:v>
                </c:pt>
                <c:pt idx="19">
                  <c:v>0.2983565821426554</c:v>
                </c:pt>
                <c:pt idx="20">
                  <c:v>0.3059295488267297</c:v>
                </c:pt>
                <c:pt idx="21">
                  <c:v>0.3130908508251883</c:v>
                </c:pt>
                <c:pt idx="22">
                  <c:v>0.3132612347753045</c:v>
                </c:pt>
                <c:pt idx="23">
                  <c:v>0.31035742238455516</c:v>
                </c:pt>
                <c:pt idx="24">
                  <c:v>0.31548112816258816</c:v>
                </c:pt>
                <c:pt idx="25">
                  <c:v>0.3151663822525597</c:v>
                </c:pt>
                <c:pt idx="26">
                  <c:v>0.32084907166037135</c:v>
                </c:pt>
                <c:pt idx="29">
                  <c:v>0.328754541092604</c:v>
                </c:pt>
                <c:pt idx="30">
                  <c:v>0.3222824536376605</c:v>
                </c:pt>
                <c:pt idx="31">
                  <c:v>0.3160207750699161</c:v>
                </c:pt>
                <c:pt idx="32">
                  <c:v>0.3192625484795683</c:v>
                </c:pt>
                <c:pt idx="33">
                  <c:v>0.31756756756756754</c:v>
                </c:pt>
                <c:pt idx="34">
                  <c:v>0.32960603625012524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Sheet1!$X$7</c:f>
              <c:strCache>
                <c:ptCount val="1"/>
                <c:pt idx="0">
                  <c:v>Value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Sheet1!$B$41:$B$75</c:f>
              <c:strCache>
                <c:ptCount val="35"/>
                <c:pt idx="0">
                  <c:v>   05/02</c:v>
                </c:pt>
                <c:pt idx="1">
                  <c:v>   06/02</c:v>
                </c:pt>
                <c:pt idx="2">
                  <c:v>   07/02</c:v>
                </c:pt>
                <c:pt idx="3">
                  <c:v>   08/02</c:v>
                </c:pt>
                <c:pt idx="4">
                  <c:v>   09/02</c:v>
                </c:pt>
                <c:pt idx="5">
                  <c:v>   10/02</c:v>
                </c:pt>
                <c:pt idx="6">
                  <c:v>   11/02</c:v>
                </c:pt>
                <c:pt idx="7">
                  <c:v>   12/02</c:v>
                </c:pt>
                <c:pt idx="8">
                  <c:v>   01/2003</c:v>
                </c:pt>
                <c:pt idx="9">
                  <c:v>   02/03</c:v>
                </c:pt>
                <c:pt idx="10">
                  <c:v>   03/03</c:v>
                </c:pt>
                <c:pt idx="11">
                  <c:v>   04/03</c:v>
                </c:pt>
                <c:pt idx="12">
                  <c:v>   05/03 - withdraw</c:v>
                </c:pt>
                <c:pt idx="13">
                  <c:v>   05/03 - after</c:v>
                </c:pt>
                <c:pt idx="14">
                  <c:v>   05/03</c:v>
                </c:pt>
                <c:pt idx="15">
                  <c:v>   06/03</c:v>
                </c:pt>
                <c:pt idx="16">
                  <c:v>   07/03</c:v>
                </c:pt>
                <c:pt idx="17">
                  <c:v>   08/03</c:v>
                </c:pt>
                <c:pt idx="18">
                  <c:v>   09/03</c:v>
                </c:pt>
                <c:pt idx="19">
                  <c:v>   10/03</c:v>
                </c:pt>
                <c:pt idx="20">
                  <c:v>   11/03</c:v>
                </c:pt>
                <c:pt idx="21">
                  <c:v>   12/03</c:v>
                </c:pt>
                <c:pt idx="22">
                  <c:v>   01/2004</c:v>
                </c:pt>
                <c:pt idx="23">
                  <c:v>   02/04</c:v>
                </c:pt>
                <c:pt idx="24">
                  <c:v>   03/04</c:v>
                </c:pt>
                <c:pt idx="25">
                  <c:v>   04/04</c:v>
                </c:pt>
                <c:pt idx="26">
                  <c:v>   05/04</c:v>
                </c:pt>
                <c:pt idx="27">
                  <c:v>   06/04 - withdraw</c:v>
                </c:pt>
                <c:pt idx="28">
                  <c:v>   06/04 - after</c:v>
                </c:pt>
                <c:pt idx="29">
                  <c:v>   06/04</c:v>
                </c:pt>
                <c:pt idx="30">
                  <c:v>   07/04</c:v>
                </c:pt>
                <c:pt idx="31">
                  <c:v>   08/04</c:v>
                </c:pt>
                <c:pt idx="32">
                  <c:v>   09/04</c:v>
                </c:pt>
                <c:pt idx="33">
                  <c:v>   10/04</c:v>
                </c:pt>
                <c:pt idx="34">
                  <c:v>   11/04</c:v>
                </c:pt>
              </c:strCache>
            </c:strRef>
          </c:cat>
          <c:val>
            <c:numRef>
              <c:f>Sheet1!$X$41:$X$75</c:f>
              <c:numCache>
                <c:ptCount val="35"/>
                <c:pt idx="0">
                  <c:v>0.28191429535485324</c:v>
                </c:pt>
                <c:pt idx="1">
                  <c:v>0.2765857386397037</c:v>
                </c:pt>
                <c:pt idx="2">
                  <c:v>0.26944236059014753</c:v>
                </c:pt>
                <c:pt idx="3">
                  <c:v>0.264509755495184</c:v>
                </c:pt>
                <c:pt idx="4">
                  <c:v>0.24486066697121975</c:v>
                </c:pt>
                <c:pt idx="5">
                  <c:v>0.24030556095034636</c:v>
                </c:pt>
                <c:pt idx="6">
                  <c:v>0.2439979782663634</c:v>
                </c:pt>
                <c:pt idx="7">
                  <c:v>0.23927721689923478</c:v>
                </c:pt>
                <c:pt idx="8">
                  <c:v>0.24094426741236913</c:v>
                </c:pt>
                <c:pt idx="9">
                  <c:v>0.23236651285431772</c:v>
                </c:pt>
                <c:pt idx="10">
                  <c:v>0.2343477418104284</c:v>
                </c:pt>
                <c:pt idx="11">
                  <c:v>0.23825668844778697</c:v>
                </c:pt>
                <c:pt idx="14">
                  <c:v>0.24244652816081388</c:v>
                </c:pt>
                <c:pt idx="15">
                  <c:v>0.2484870491406439</c:v>
                </c:pt>
                <c:pt idx="16">
                  <c:v>0.25663031169914774</c:v>
                </c:pt>
                <c:pt idx="17">
                  <c:v>0.2598764712737443</c:v>
                </c:pt>
                <c:pt idx="18">
                  <c:v>0.2579816727951906</c:v>
                </c:pt>
                <c:pt idx="19">
                  <c:v>0.26136556164228836</c:v>
                </c:pt>
                <c:pt idx="20">
                  <c:v>0.2618013958344782</c:v>
                </c:pt>
                <c:pt idx="21">
                  <c:v>0.2617101960155958</c:v>
                </c:pt>
                <c:pt idx="22">
                  <c:v>0.2622847543049139</c:v>
                </c:pt>
                <c:pt idx="23">
                  <c:v>0.2645969214714323</c:v>
                </c:pt>
                <c:pt idx="24">
                  <c:v>0.25798423890501865</c:v>
                </c:pt>
                <c:pt idx="25">
                  <c:v>0.2586924061433447</c:v>
                </c:pt>
                <c:pt idx="26">
                  <c:v>0.25397669840932063</c:v>
                </c:pt>
                <c:pt idx="29">
                  <c:v>0.2542737679073274</c:v>
                </c:pt>
                <c:pt idx="30">
                  <c:v>0.2502710413694722</c:v>
                </c:pt>
                <c:pt idx="31">
                  <c:v>0.2502140288796302</c:v>
                </c:pt>
                <c:pt idx="32">
                  <c:v>0.24911472092631107</c:v>
                </c:pt>
                <c:pt idx="33">
                  <c:v>0.24782220236765692</c:v>
                </c:pt>
                <c:pt idx="34">
                  <c:v>0.24944021596274144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Sheet1!$Y$7</c:f>
              <c:strCache>
                <c:ptCount val="1"/>
                <c:pt idx="0">
                  <c:v>Fixed Inc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Sheet1!$B$41:$B$75</c:f>
              <c:strCache>
                <c:ptCount val="35"/>
                <c:pt idx="0">
                  <c:v>   05/02</c:v>
                </c:pt>
                <c:pt idx="1">
                  <c:v>   06/02</c:v>
                </c:pt>
                <c:pt idx="2">
                  <c:v>   07/02</c:v>
                </c:pt>
                <c:pt idx="3">
                  <c:v>   08/02</c:v>
                </c:pt>
                <c:pt idx="4">
                  <c:v>   09/02</c:v>
                </c:pt>
                <c:pt idx="5">
                  <c:v>   10/02</c:v>
                </c:pt>
                <c:pt idx="6">
                  <c:v>   11/02</c:v>
                </c:pt>
                <c:pt idx="7">
                  <c:v>   12/02</c:v>
                </c:pt>
                <c:pt idx="8">
                  <c:v>   01/2003</c:v>
                </c:pt>
                <c:pt idx="9">
                  <c:v>   02/03</c:v>
                </c:pt>
                <c:pt idx="10">
                  <c:v>   03/03</c:v>
                </c:pt>
                <c:pt idx="11">
                  <c:v>   04/03</c:v>
                </c:pt>
                <c:pt idx="12">
                  <c:v>   05/03 - withdraw</c:v>
                </c:pt>
                <c:pt idx="13">
                  <c:v>   05/03 - after</c:v>
                </c:pt>
                <c:pt idx="14">
                  <c:v>   05/03</c:v>
                </c:pt>
                <c:pt idx="15">
                  <c:v>   06/03</c:v>
                </c:pt>
                <c:pt idx="16">
                  <c:v>   07/03</c:v>
                </c:pt>
                <c:pt idx="17">
                  <c:v>   08/03</c:v>
                </c:pt>
                <c:pt idx="18">
                  <c:v>   09/03</c:v>
                </c:pt>
                <c:pt idx="19">
                  <c:v>   10/03</c:v>
                </c:pt>
                <c:pt idx="20">
                  <c:v>   11/03</c:v>
                </c:pt>
                <c:pt idx="21">
                  <c:v>   12/03</c:v>
                </c:pt>
                <c:pt idx="22">
                  <c:v>   01/2004</c:v>
                </c:pt>
                <c:pt idx="23">
                  <c:v>   02/04</c:v>
                </c:pt>
                <c:pt idx="24">
                  <c:v>   03/04</c:v>
                </c:pt>
                <c:pt idx="25">
                  <c:v>   04/04</c:v>
                </c:pt>
                <c:pt idx="26">
                  <c:v>   05/04</c:v>
                </c:pt>
                <c:pt idx="27">
                  <c:v>   06/04 - withdraw</c:v>
                </c:pt>
                <c:pt idx="28">
                  <c:v>   06/04 - after</c:v>
                </c:pt>
                <c:pt idx="29">
                  <c:v>   06/04</c:v>
                </c:pt>
                <c:pt idx="30">
                  <c:v>   07/04</c:v>
                </c:pt>
                <c:pt idx="31">
                  <c:v>   08/04</c:v>
                </c:pt>
                <c:pt idx="32">
                  <c:v>   09/04</c:v>
                </c:pt>
                <c:pt idx="33">
                  <c:v>   10/04</c:v>
                </c:pt>
                <c:pt idx="34">
                  <c:v>   11/04</c:v>
                </c:pt>
              </c:strCache>
            </c:strRef>
          </c:cat>
          <c:val>
            <c:numRef>
              <c:f>Sheet1!$Y$41:$Y$75</c:f>
              <c:numCache>
                <c:ptCount val="35"/>
                <c:pt idx="0">
                  <c:v>0.28191429535485324</c:v>
                </c:pt>
                <c:pt idx="1">
                  <c:v>0.2944565281288578</c:v>
                </c:pt>
                <c:pt idx="2">
                  <c:v>0.31451612903225806</c:v>
                </c:pt>
                <c:pt idx="3">
                  <c:v>0.3149543097061003</c:v>
                </c:pt>
                <c:pt idx="4">
                  <c:v>0.33576975788031066</c:v>
                </c:pt>
                <c:pt idx="5">
                  <c:v>0.33456334563345635</c:v>
                </c:pt>
                <c:pt idx="6">
                  <c:v>0.3290371493555724</c:v>
                </c:pt>
                <c:pt idx="7">
                  <c:v>0.34222879557584723</c:v>
                </c:pt>
                <c:pt idx="8">
                  <c:v>0.3458411913897379</c:v>
                </c:pt>
                <c:pt idx="9">
                  <c:v>0.35504284772577455</c:v>
                </c:pt>
                <c:pt idx="10">
                  <c:v>0.34858176649221423</c:v>
                </c:pt>
                <c:pt idx="11">
                  <c:v>0.33657995315004313</c:v>
                </c:pt>
                <c:pt idx="14">
                  <c:v>0.3246920389777533</c:v>
                </c:pt>
                <c:pt idx="15">
                  <c:v>0.32044299201161947</c:v>
                </c:pt>
                <c:pt idx="16">
                  <c:v>0.30311699147744203</c:v>
                </c:pt>
                <c:pt idx="17">
                  <c:v>0.2987414054306025</c:v>
                </c:pt>
                <c:pt idx="18">
                  <c:v>0.30823556878538494</c:v>
                </c:pt>
                <c:pt idx="19">
                  <c:v>0.2957022646411024</c:v>
                </c:pt>
                <c:pt idx="20">
                  <c:v>0.2884541407924383</c:v>
                </c:pt>
                <c:pt idx="21">
                  <c:v>0.28270042194092826</c:v>
                </c:pt>
                <c:pt idx="22">
                  <c:v>0.28034439311213777</c:v>
                </c:pt>
                <c:pt idx="23">
                  <c:v>0.28150273936864073</c:v>
                </c:pt>
                <c:pt idx="24">
                  <c:v>0.2813148071339693</c:v>
                </c:pt>
                <c:pt idx="25">
                  <c:v>0.2821565699658703</c:v>
                </c:pt>
                <c:pt idx="26">
                  <c:v>0.2807362877054849</c:v>
                </c:pt>
                <c:pt idx="29">
                  <c:v>0.27522105696072385</c:v>
                </c:pt>
                <c:pt idx="30">
                  <c:v>0.28964336661911555</c:v>
                </c:pt>
                <c:pt idx="31">
                  <c:v>0.2957593744649278</c:v>
                </c:pt>
                <c:pt idx="32">
                  <c:v>0.2918329492439998</c:v>
                </c:pt>
                <c:pt idx="33">
                  <c:v>0.29221576948849676</c:v>
                </c:pt>
                <c:pt idx="34">
                  <c:v>0.2775002359714064</c:v>
                </c:pt>
              </c:numCache>
            </c:numRef>
          </c:val>
          <c:smooth val="0"/>
        </c:ser>
        <c:marker val="1"/>
        <c:axId val="9384638"/>
        <c:axId val="17352879"/>
      </c:lineChart>
      <c:catAx>
        <c:axId val="9384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 val="autoZero"/>
        <c:auto val="1"/>
        <c:lblOffset val="100"/>
        <c:tickLblSkip val="6"/>
        <c:tickMarkSkip val="3"/>
        <c:noMultiLvlLbl val="0"/>
      </c:catAx>
      <c:valAx>
        <c:axId val="1735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25"/>
          <c:y val="0.9025"/>
          <c:w val="0.54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0.33125</cdr:x>
      <cdr:y>0.906</cdr:y>
    </cdr:from>
    <cdr:to>
      <cdr:x>0.70475</cdr:x>
      <cdr:y>0.97925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09825" y="3343275"/>
          <a:ext cx="27146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5% Payments made each May 15th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0.86525</cdr:y>
    </cdr:from>
    <cdr:to>
      <cdr:x>0.601</cdr:x>
      <cdr:y>0.91625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2466975" y="4343400"/>
          <a:ext cx="21240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 monthly returns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0.00075</cdr:x>
      <cdr:y>0.00075</cdr:y>
    </cdr:from>
    <cdr:to>
      <cdr:x>0.00075</cdr:x>
      <cdr:y>0.99975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0" y="0"/>
          <a:ext cx="0" cy="5019675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Excludes annual withdrawal in May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345</xdr:row>
      <xdr:rowOff>9525</xdr:rowOff>
    </xdr:from>
    <xdr:to>
      <xdr:col>9</xdr:col>
      <xdr:colOff>1066800</xdr:colOff>
      <xdr:row>367</xdr:row>
      <xdr:rowOff>123825</xdr:rowOff>
    </xdr:to>
    <xdr:graphicFrame>
      <xdr:nvGraphicFramePr>
        <xdr:cNvPr id="1" name="Chart 37"/>
        <xdr:cNvGraphicFramePr/>
      </xdr:nvGraphicFramePr>
      <xdr:xfrm>
        <a:off x="228600" y="59312175"/>
        <a:ext cx="7277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390</xdr:row>
      <xdr:rowOff>0</xdr:rowOff>
    </xdr:from>
    <xdr:to>
      <xdr:col>6</xdr:col>
      <xdr:colOff>800100</xdr:colOff>
      <xdr:row>390</xdr:row>
      <xdr:rowOff>0</xdr:rowOff>
    </xdr:to>
    <xdr:sp>
      <xdr:nvSpPr>
        <xdr:cNvPr id="2" name="Rectangle 28"/>
        <xdr:cNvSpPr>
          <a:spLocks/>
        </xdr:cNvSpPr>
      </xdr:nvSpPr>
      <xdr:spPr>
        <a:xfrm>
          <a:off x="457200" y="66608325"/>
          <a:ext cx="516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378</xdr:row>
      <xdr:rowOff>0</xdr:rowOff>
    </xdr:from>
    <xdr:to>
      <xdr:col>10</xdr:col>
      <xdr:colOff>342900</xdr:colOff>
      <xdr:row>409</xdr:row>
      <xdr:rowOff>9525</xdr:rowOff>
    </xdr:to>
    <xdr:graphicFrame>
      <xdr:nvGraphicFramePr>
        <xdr:cNvPr id="3" name="Chart 35"/>
        <xdr:cNvGraphicFramePr/>
      </xdr:nvGraphicFramePr>
      <xdr:xfrm>
        <a:off x="247650" y="64665225"/>
        <a:ext cx="764857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0</xdr:rowOff>
    </xdr:from>
    <xdr:to>
      <xdr:col>5</xdr:col>
      <xdr:colOff>800100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33425" y="323850"/>
          <a:ext cx="418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7</xdr:col>
      <xdr:colOff>581025</xdr:colOff>
      <xdr:row>26</xdr:row>
      <xdr:rowOff>38100</xdr:rowOff>
    </xdr:to>
    <xdr:graphicFrame>
      <xdr:nvGraphicFramePr>
        <xdr:cNvPr id="2" name="Chart 4"/>
        <xdr:cNvGraphicFramePr/>
      </xdr:nvGraphicFramePr>
      <xdr:xfrm>
        <a:off x="609600" y="333375"/>
        <a:ext cx="5314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95250</xdr:rowOff>
    </xdr:from>
    <xdr:to>
      <xdr:col>10</xdr:col>
      <xdr:colOff>371475</xdr:colOff>
      <xdr:row>35</xdr:row>
      <xdr:rowOff>38100</xdr:rowOff>
    </xdr:to>
    <xdr:graphicFrame>
      <xdr:nvGraphicFramePr>
        <xdr:cNvPr id="1" name="Chart 2049"/>
        <xdr:cNvGraphicFramePr/>
      </xdr:nvGraphicFramePr>
      <xdr:xfrm>
        <a:off x="704850" y="2038350"/>
        <a:ext cx="6076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6"/>
  <sheetViews>
    <sheetView tabSelected="1" zoomScale="92" zoomScaleNormal="92" zoomScalePageLayoutView="0" workbookViewId="0" topLeftCell="A366">
      <selection activeCell="M334" sqref="M334"/>
    </sheetView>
  </sheetViews>
  <sheetFormatPr defaultColWidth="8.8515625" defaultRowHeight="12.75"/>
  <cols>
    <col min="1" max="1" width="4.7109375" style="0" customWidth="1"/>
    <col min="2" max="2" width="16.7109375" style="0" customWidth="1"/>
    <col min="3" max="6" width="12.7109375" style="1" customWidth="1"/>
    <col min="7" max="7" width="12.7109375" style="2" customWidth="1"/>
    <col min="8" max="8" width="2.7109375" style="0" customWidth="1"/>
    <col min="9" max="9" width="8.8515625" style="0" customWidth="1"/>
    <col min="10" max="10" width="16.7109375" style="0" customWidth="1"/>
    <col min="11" max="26" width="10.7109375" style="0" customWidth="1"/>
  </cols>
  <sheetData>
    <row r="1" spans="1:6" ht="12.75">
      <c r="A1" s="66"/>
      <c r="B1" s="128">
        <v>43679</v>
      </c>
      <c r="C1" s="129"/>
      <c r="F1" s="44" t="s">
        <v>61</v>
      </c>
    </row>
    <row r="2" ht="12.75">
      <c r="F2" s="44" t="s">
        <v>62</v>
      </c>
    </row>
    <row r="3" ht="13.5" thickBot="1"/>
    <row r="4" spans="2:13" ht="21" customHeight="1" thickTop="1">
      <c r="B4" s="12"/>
      <c r="C4" s="125" t="s">
        <v>3</v>
      </c>
      <c r="D4" s="13"/>
      <c r="E4" s="13"/>
      <c r="F4" s="13"/>
      <c r="G4" s="14"/>
      <c r="H4" s="15"/>
      <c r="M4" s="32" t="s">
        <v>56</v>
      </c>
    </row>
    <row r="5" spans="2:21" ht="12.75">
      <c r="B5" s="16"/>
      <c r="C5" s="6"/>
      <c r="D5" s="6"/>
      <c r="E5" s="6"/>
      <c r="F5" s="6"/>
      <c r="G5" s="7"/>
      <c r="H5" s="17"/>
      <c r="U5" s="54" t="s">
        <v>123</v>
      </c>
    </row>
    <row r="6" spans="2:25" ht="15">
      <c r="B6" s="23" t="s">
        <v>4</v>
      </c>
      <c r="C6" s="8" t="s">
        <v>66</v>
      </c>
      <c r="D6" s="8" t="s">
        <v>344</v>
      </c>
      <c r="E6" s="8" t="s">
        <v>2</v>
      </c>
      <c r="F6" s="8" t="s">
        <v>54</v>
      </c>
      <c r="G6" s="9" t="s">
        <v>6</v>
      </c>
      <c r="H6" s="17"/>
      <c r="K6" s="31" t="s">
        <v>46</v>
      </c>
      <c r="L6" s="31"/>
      <c r="M6" s="31" t="s">
        <v>47</v>
      </c>
      <c r="N6" s="31"/>
      <c r="O6" s="31" t="s">
        <v>48</v>
      </c>
      <c r="P6" s="31"/>
      <c r="Q6" s="31" t="s">
        <v>49</v>
      </c>
      <c r="R6" s="31"/>
      <c r="S6" s="31" t="s">
        <v>50</v>
      </c>
      <c r="U6" s="54" t="s">
        <v>124</v>
      </c>
      <c r="V6" s="130" t="s">
        <v>101</v>
      </c>
      <c r="W6" s="131"/>
      <c r="X6" s="131"/>
      <c r="Y6" s="131"/>
    </row>
    <row r="7" spans="2:25" ht="12.75">
      <c r="B7" s="23" t="s">
        <v>5</v>
      </c>
      <c r="C7" s="22"/>
      <c r="D7" s="8"/>
      <c r="E7" s="8"/>
      <c r="F7" s="22" t="s">
        <v>0</v>
      </c>
      <c r="G7" s="9"/>
      <c r="H7" s="17"/>
      <c r="K7" s="1" t="s">
        <v>44</v>
      </c>
      <c r="L7" s="1" t="s">
        <v>45</v>
      </c>
      <c r="M7" s="1" t="s">
        <v>44</v>
      </c>
      <c r="N7" s="1" t="s">
        <v>45</v>
      </c>
      <c r="O7" s="1" t="s">
        <v>44</v>
      </c>
      <c r="P7" s="1" t="s">
        <v>45</v>
      </c>
      <c r="Q7" s="1" t="s">
        <v>44</v>
      </c>
      <c r="R7" s="1" t="s">
        <v>45</v>
      </c>
      <c r="S7" s="1" t="s">
        <v>44</v>
      </c>
      <c r="T7" s="1" t="s">
        <v>45</v>
      </c>
      <c r="U7" s="54" t="s">
        <v>125</v>
      </c>
      <c r="V7" s="54" t="s">
        <v>102</v>
      </c>
      <c r="W7" s="54" t="s">
        <v>1</v>
      </c>
      <c r="X7" s="54" t="s">
        <v>2</v>
      </c>
      <c r="Y7" s="54" t="s">
        <v>103</v>
      </c>
    </row>
    <row r="8" spans="2:8" ht="12.75">
      <c r="B8" s="16"/>
      <c r="C8" s="6"/>
      <c r="D8" s="6"/>
      <c r="E8" s="6"/>
      <c r="F8" s="6"/>
      <c r="G8" s="7"/>
      <c r="H8" s="17"/>
    </row>
    <row r="9" spans="2:20" ht="25.5" customHeight="1">
      <c r="B9" s="18" t="s">
        <v>43</v>
      </c>
      <c r="C9" s="10">
        <v>600000</v>
      </c>
      <c r="D9" s="10">
        <v>600000</v>
      </c>
      <c r="E9" s="10">
        <v>600000</v>
      </c>
      <c r="F9" s="10"/>
      <c r="G9" s="11">
        <f aca="true" t="shared" si="0" ref="G9:G16">SUM(C9:E9)</f>
        <v>1800000</v>
      </c>
      <c r="H9" s="17"/>
      <c r="J9" t="s">
        <v>43</v>
      </c>
      <c r="L9" s="30">
        <v>1</v>
      </c>
      <c r="N9" s="30">
        <v>1</v>
      </c>
      <c r="P9" s="30">
        <v>1</v>
      </c>
      <c r="T9" s="30">
        <v>1</v>
      </c>
    </row>
    <row r="10" spans="2:20" ht="13.5" customHeight="1">
      <c r="B10" s="18" t="s">
        <v>11</v>
      </c>
      <c r="C10" s="10">
        <v>604500</v>
      </c>
      <c r="D10" s="10">
        <v>594800</v>
      </c>
      <c r="E10" s="10">
        <v>612600</v>
      </c>
      <c r="F10" s="10"/>
      <c r="G10" s="11">
        <f t="shared" si="0"/>
        <v>1811900</v>
      </c>
      <c r="H10" s="17"/>
      <c r="J10" t="s">
        <v>11</v>
      </c>
      <c r="K10" s="29">
        <f>C10/C9</f>
        <v>1.0075</v>
      </c>
      <c r="L10" s="30">
        <f>K10*L9</f>
        <v>1.0075</v>
      </c>
      <c r="M10" s="29">
        <f aca="true" t="shared" si="1" ref="M10:M23">D10/D9</f>
        <v>0.9913333333333333</v>
      </c>
      <c r="N10" s="30">
        <f>M10*N9</f>
        <v>0.9913333333333333</v>
      </c>
      <c r="O10" s="29">
        <f aca="true" t="shared" si="2" ref="O10:O23">E10/E9</f>
        <v>1.021</v>
      </c>
      <c r="P10" s="30">
        <f>O10*P9</f>
        <v>1.021</v>
      </c>
      <c r="S10" s="29">
        <f aca="true" t="shared" si="3" ref="S10:S23">G10/G9</f>
        <v>1.0066111111111111</v>
      </c>
      <c r="T10" s="30">
        <f>S10*T9</f>
        <v>1.0066111111111111</v>
      </c>
    </row>
    <row r="11" spans="2:20" ht="13.5" customHeight="1">
      <c r="B11" s="16" t="s">
        <v>12</v>
      </c>
      <c r="C11" s="10">
        <v>592100</v>
      </c>
      <c r="D11" s="10">
        <v>578600</v>
      </c>
      <c r="E11" s="10">
        <v>616300</v>
      </c>
      <c r="F11" s="10"/>
      <c r="G11" s="11">
        <f t="shared" si="0"/>
        <v>1787000</v>
      </c>
      <c r="H11" s="17"/>
      <c r="J11" t="s">
        <v>12</v>
      </c>
      <c r="K11" s="29">
        <f aca="true" t="shared" si="4" ref="K11:K23">C11/C10</f>
        <v>0.9794871794871794</v>
      </c>
      <c r="L11" s="30">
        <f>K11*L10</f>
        <v>0.9868333333333333</v>
      </c>
      <c r="M11" s="29">
        <f t="shared" si="1"/>
        <v>0.972763954270343</v>
      </c>
      <c r="N11" s="30">
        <f>M11*N10</f>
        <v>0.9643333333333334</v>
      </c>
      <c r="O11" s="29">
        <f t="shared" si="2"/>
        <v>1.006039830231799</v>
      </c>
      <c r="P11" s="30">
        <f>O11*P10</f>
        <v>1.0271666666666668</v>
      </c>
      <c r="S11" s="29">
        <f t="shared" si="3"/>
        <v>0.9862575197306694</v>
      </c>
      <c r="T11" s="30">
        <f>S11*T10</f>
        <v>0.9927777777777778</v>
      </c>
    </row>
    <row r="12" spans="2:20" ht="13.5" customHeight="1">
      <c r="B12" s="16" t="s">
        <v>13</v>
      </c>
      <c r="C12" s="10">
        <v>564100</v>
      </c>
      <c r="D12" s="10">
        <v>558200</v>
      </c>
      <c r="E12" s="10">
        <v>633000</v>
      </c>
      <c r="F12" s="10"/>
      <c r="G12" s="11">
        <f t="shared" si="0"/>
        <v>1755300</v>
      </c>
      <c r="H12" s="17"/>
      <c r="J12" t="s">
        <v>13</v>
      </c>
      <c r="K12" s="29">
        <f t="shared" si="4"/>
        <v>0.9527106907616957</v>
      </c>
      <c r="L12" s="30">
        <f aca="true" t="shared" si="5" ref="L12:L23">K12*L11</f>
        <v>0.9401666666666667</v>
      </c>
      <c r="M12" s="29">
        <f t="shared" si="1"/>
        <v>0.964742481852748</v>
      </c>
      <c r="N12" s="30">
        <f aca="true" t="shared" si="6" ref="N12:N23">M12*N11</f>
        <v>0.9303333333333333</v>
      </c>
      <c r="O12" s="29">
        <f t="shared" si="2"/>
        <v>1.0270971929255233</v>
      </c>
      <c r="P12" s="30">
        <f aca="true" t="shared" si="7" ref="P12:P23">O12*P11</f>
        <v>1.0550000000000002</v>
      </c>
      <c r="S12" s="29">
        <f t="shared" si="3"/>
        <v>0.9822607722439843</v>
      </c>
      <c r="T12" s="30">
        <f aca="true" t="shared" si="8" ref="T12:T23">S12*T11</f>
        <v>0.9751666666666666</v>
      </c>
    </row>
    <row r="13" spans="2:20" ht="13.5" customHeight="1">
      <c r="B13" s="16" t="s">
        <v>14</v>
      </c>
      <c r="C13" s="10">
        <v>576500</v>
      </c>
      <c r="D13" s="10">
        <v>573000</v>
      </c>
      <c r="E13" s="10">
        <v>620200</v>
      </c>
      <c r="F13" s="10"/>
      <c r="G13" s="11">
        <f t="shared" si="0"/>
        <v>1769700</v>
      </c>
      <c r="H13" s="17"/>
      <c r="J13" t="s">
        <v>14</v>
      </c>
      <c r="K13" s="29">
        <f t="shared" si="4"/>
        <v>1.0219819180996277</v>
      </c>
      <c r="L13" s="30">
        <f t="shared" si="5"/>
        <v>0.9608333333333333</v>
      </c>
      <c r="M13" s="29">
        <f t="shared" si="1"/>
        <v>1.0265137943389466</v>
      </c>
      <c r="N13" s="30">
        <f t="shared" si="6"/>
        <v>0.9550000000000001</v>
      </c>
      <c r="O13" s="29">
        <f t="shared" si="2"/>
        <v>0.9797788309636651</v>
      </c>
      <c r="P13" s="30">
        <f t="shared" si="7"/>
        <v>1.033666666666667</v>
      </c>
      <c r="S13" s="29">
        <f t="shared" si="3"/>
        <v>1.0082037258588274</v>
      </c>
      <c r="T13" s="30">
        <f t="shared" si="8"/>
        <v>0.9831666666666665</v>
      </c>
    </row>
    <row r="14" spans="2:20" ht="13.5" customHeight="1">
      <c r="B14" s="16" t="s">
        <v>15</v>
      </c>
      <c r="C14" s="10">
        <v>577800</v>
      </c>
      <c r="D14" s="10">
        <v>583800</v>
      </c>
      <c r="E14" s="10">
        <v>633600</v>
      </c>
      <c r="F14" s="10"/>
      <c r="G14" s="11">
        <f t="shared" si="0"/>
        <v>1795200</v>
      </c>
      <c r="H14" s="17"/>
      <c r="J14" t="s">
        <v>15</v>
      </c>
      <c r="K14" s="29">
        <f t="shared" si="4"/>
        <v>1.0022549869904596</v>
      </c>
      <c r="L14" s="30">
        <f t="shared" si="5"/>
        <v>0.9629999999999999</v>
      </c>
      <c r="M14" s="29">
        <f t="shared" si="1"/>
        <v>1.018848167539267</v>
      </c>
      <c r="N14" s="30">
        <f t="shared" si="6"/>
        <v>0.9730000000000002</v>
      </c>
      <c r="O14" s="29">
        <f t="shared" si="2"/>
        <v>1.0216059335698162</v>
      </c>
      <c r="P14" s="30">
        <f t="shared" si="7"/>
        <v>1.0560000000000003</v>
      </c>
      <c r="S14" s="29">
        <f t="shared" si="3"/>
        <v>1.0144092219020173</v>
      </c>
      <c r="T14" s="30">
        <f t="shared" si="8"/>
        <v>0.9973333333333332</v>
      </c>
    </row>
    <row r="15" spans="2:21" ht="13.5" customHeight="1">
      <c r="B15" s="16" t="s">
        <v>16</v>
      </c>
      <c r="C15" s="10">
        <v>600200</v>
      </c>
      <c r="D15" s="10">
        <v>637000</v>
      </c>
      <c r="E15" s="10">
        <v>661200</v>
      </c>
      <c r="F15" s="10"/>
      <c r="G15" s="11">
        <f t="shared" si="0"/>
        <v>1898400</v>
      </c>
      <c r="H15" s="17"/>
      <c r="J15" t="s">
        <v>16</v>
      </c>
      <c r="K15" s="29">
        <f t="shared" si="4"/>
        <v>1.0387677397023192</v>
      </c>
      <c r="L15" s="30">
        <f t="shared" si="5"/>
        <v>1.0003333333333333</v>
      </c>
      <c r="M15" s="29">
        <f t="shared" si="1"/>
        <v>1.091127098321343</v>
      </c>
      <c r="N15" s="30">
        <f t="shared" si="6"/>
        <v>1.061666666666667</v>
      </c>
      <c r="O15" s="29">
        <f t="shared" si="2"/>
        <v>1.043560606060606</v>
      </c>
      <c r="P15" s="30">
        <f t="shared" si="7"/>
        <v>1.102</v>
      </c>
      <c r="S15" s="29">
        <f t="shared" si="3"/>
        <v>1.0574866310160427</v>
      </c>
      <c r="T15" s="30">
        <f t="shared" si="8"/>
        <v>1.0546666666666664</v>
      </c>
      <c r="U15" s="61">
        <f>T15/T9-1</f>
        <v>0.05466666666666642</v>
      </c>
    </row>
    <row r="16" spans="2:20" ht="13.5" customHeight="1">
      <c r="B16" s="16" t="s">
        <v>17</v>
      </c>
      <c r="C16" s="10">
        <v>596200</v>
      </c>
      <c r="D16" s="10">
        <v>645600</v>
      </c>
      <c r="E16" s="10">
        <v>666900</v>
      </c>
      <c r="F16" s="10"/>
      <c r="G16" s="11">
        <f t="shared" si="0"/>
        <v>1908700</v>
      </c>
      <c r="H16" s="17"/>
      <c r="J16" t="s">
        <v>17</v>
      </c>
      <c r="K16" s="29">
        <f t="shared" si="4"/>
        <v>0.9933355548150616</v>
      </c>
      <c r="L16" s="30">
        <f t="shared" si="5"/>
        <v>0.9936666666666666</v>
      </c>
      <c r="M16" s="29">
        <f t="shared" si="1"/>
        <v>1.0135007849293565</v>
      </c>
      <c r="N16" s="30">
        <f t="shared" si="6"/>
        <v>1.0760000000000005</v>
      </c>
      <c r="O16" s="29">
        <f t="shared" si="2"/>
        <v>1.0086206896551724</v>
      </c>
      <c r="P16" s="30">
        <f t="shared" si="7"/>
        <v>1.1115000000000002</v>
      </c>
      <c r="S16" s="29">
        <f t="shared" si="3"/>
        <v>1.005425621576064</v>
      </c>
      <c r="T16" s="30">
        <f t="shared" si="8"/>
        <v>1.0603888888888886</v>
      </c>
    </row>
    <row r="17" spans="2:20" ht="13.5" customHeight="1">
      <c r="B17" s="16" t="s">
        <v>18</v>
      </c>
      <c r="C17" s="10">
        <v>587800</v>
      </c>
      <c r="D17" s="10">
        <v>670900</v>
      </c>
      <c r="E17" s="10">
        <v>676500</v>
      </c>
      <c r="F17" s="10"/>
      <c r="G17" s="11">
        <f aca="true" t="shared" si="9" ref="G17:G32">SUM(C17:E17)</f>
        <v>1935200</v>
      </c>
      <c r="H17" s="17"/>
      <c r="J17" t="s">
        <v>18</v>
      </c>
      <c r="K17" s="29">
        <f t="shared" si="4"/>
        <v>0.985910768198591</v>
      </c>
      <c r="L17" s="30">
        <f t="shared" si="5"/>
        <v>0.9796666666666666</v>
      </c>
      <c r="M17" s="29">
        <f t="shared" si="1"/>
        <v>1.039188351920694</v>
      </c>
      <c r="N17" s="30">
        <f t="shared" si="6"/>
        <v>1.1181666666666672</v>
      </c>
      <c r="O17" s="29">
        <f t="shared" si="2"/>
        <v>1.0143949617633827</v>
      </c>
      <c r="P17" s="30">
        <f t="shared" si="7"/>
        <v>1.1275000000000002</v>
      </c>
      <c r="S17" s="29">
        <f t="shared" si="3"/>
        <v>1.0138837952533137</v>
      </c>
      <c r="T17" s="30">
        <f t="shared" si="8"/>
        <v>1.0751111111111107</v>
      </c>
    </row>
    <row r="18" spans="2:20" ht="13.5" customHeight="1">
      <c r="B18" s="16" t="s">
        <v>19</v>
      </c>
      <c r="C18" s="10">
        <v>553500</v>
      </c>
      <c r="D18" s="10">
        <v>631700</v>
      </c>
      <c r="E18" s="10">
        <v>663400</v>
      </c>
      <c r="F18" s="10"/>
      <c r="G18" s="11">
        <f t="shared" si="9"/>
        <v>1848600</v>
      </c>
      <c r="H18" s="17"/>
      <c r="J18" t="s">
        <v>19</v>
      </c>
      <c r="K18" s="29">
        <f t="shared" si="4"/>
        <v>0.9416468186457979</v>
      </c>
      <c r="L18" s="30">
        <f t="shared" si="5"/>
        <v>0.9225</v>
      </c>
      <c r="M18" s="29">
        <f t="shared" si="1"/>
        <v>0.9415710239976152</v>
      </c>
      <c r="N18" s="30">
        <f t="shared" si="6"/>
        <v>1.052833333333334</v>
      </c>
      <c r="O18" s="29">
        <f t="shared" si="2"/>
        <v>0.9806356245380635</v>
      </c>
      <c r="P18" s="30">
        <f t="shared" si="7"/>
        <v>1.1056666666666668</v>
      </c>
      <c r="S18" s="29">
        <f t="shared" si="3"/>
        <v>0.9552501033484911</v>
      </c>
      <c r="T18" s="30">
        <f t="shared" si="8"/>
        <v>1.0269999999999997</v>
      </c>
    </row>
    <row r="19" spans="2:20" ht="13.5" customHeight="1">
      <c r="B19" s="16" t="s">
        <v>20</v>
      </c>
      <c r="C19" s="10">
        <v>571300</v>
      </c>
      <c r="D19" s="10">
        <v>643800</v>
      </c>
      <c r="E19" s="10">
        <v>696300</v>
      </c>
      <c r="F19" s="10"/>
      <c r="G19" s="11">
        <f t="shared" si="9"/>
        <v>1911400</v>
      </c>
      <c r="H19" s="17"/>
      <c r="J19" t="s">
        <v>20</v>
      </c>
      <c r="K19" s="29">
        <f t="shared" si="4"/>
        <v>1.0321589882565492</v>
      </c>
      <c r="L19" s="30">
        <f t="shared" si="5"/>
        <v>0.9521666666666666</v>
      </c>
      <c r="M19" s="29">
        <f t="shared" si="1"/>
        <v>1.0191546620231122</v>
      </c>
      <c r="N19" s="30">
        <f t="shared" si="6"/>
        <v>1.0730000000000006</v>
      </c>
      <c r="O19" s="29">
        <f t="shared" si="2"/>
        <v>1.0495930057280676</v>
      </c>
      <c r="P19" s="30">
        <f t="shared" si="7"/>
        <v>1.1605</v>
      </c>
      <c r="S19" s="29">
        <f t="shared" si="3"/>
        <v>1.0339716542248187</v>
      </c>
      <c r="T19" s="30">
        <f t="shared" si="8"/>
        <v>1.0618888888888884</v>
      </c>
    </row>
    <row r="20" spans="2:20" ht="13.5" customHeight="1">
      <c r="B20" s="16" t="s">
        <v>21</v>
      </c>
      <c r="C20" s="10">
        <v>581000</v>
      </c>
      <c r="D20" s="10">
        <v>673100</v>
      </c>
      <c r="E20" s="10">
        <v>734200</v>
      </c>
      <c r="F20" s="10"/>
      <c r="G20" s="11">
        <f t="shared" si="9"/>
        <v>1988300</v>
      </c>
      <c r="H20" s="17"/>
      <c r="J20" t="s">
        <v>21</v>
      </c>
      <c r="K20" s="29">
        <f t="shared" si="4"/>
        <v>1.0169788202345529</v>
      </c>
      <c r="L20" s="30">
        <f t="shared" si="5"/>
        <v>0.9683333333333334</v>
      </c>
      <c r="M20" s="29">
        <f t="shared" si="1"/>
        <v>1.045511028269649</v>
      </c>
      <c r="N20" s="30">
        <f t="shared" si="6"/>
        <v>1.121833333333334</v>
      </c>
      <c r="O20" s="29">
        <f t="shared" si="2"/>
        <v>1.0544305615395664</v>
      </c>
      <c r="P20" s="30">
        <f t="shared" si="7"/>
        <v>1.223666666666667</v>
      </c>
      <c r="S20" s="29">
        <f t="shared" si="3"/>
        <v>1.04023229046772</v>
      </c>
      <c r="T20" s="30">
        <f t="shared" si="8"/>
        <v>1.1046111111111105</v>
      </c>
    </row>
    <row r="21" spans="2:20" ht="13.5" customHeight="1">
      <c r="B21" s="16" t="s">
        <v>22</v>
      </c>
      <c r="C21" s="10">
        <v>549800</v>
      </c>
      <c r="D21" s="10">
        <v>654300</v>
      </c>
      <c r="E21" s="10">
        <v>709600</v>
      </c>
      <c r="F21" s="10"/>
      <c r="G21" s="11">
        <f t="shared" si="9"/>
        <v>1913700</v>
      </c>
      <c r="H21" s="17"/>
      <c r="J21" t="s">
        <v>22</v>
      </c>
      <c r="K21" s="29">
        <f t="shared" si="4"/>
        <v>0.9462994836488813</v>
      </c>
      <c r="L21" s="30">
        <f t="shared" si="5"/>
        <v>0.9163333333333334</v>
      </c>
      <c r="M21" s="29">
        <f t="shared" si="1"/>
        <v>0.9720695290447184</v>
      </c>
      <c r="N21" s="30">
        <f t="shared" si="6"/>
        <v>1.0905000000000005</v>
      </c>
      <c r="O21" s="29">
        <f t="shared" si="2"/>
        <v>0.9664941432852084</v>
      </c>
      <c r="P21" s="30">
        <f t="shared" si="7"/>
        <v>1.182666666666667</v>
      </c>
      <c r="S21" s="29">
        <f t="shared" si="3"/>
        <v>0.9624805109892873</v>
      </c>
      <c r="T21" s="30">
        <f t="shared" si="8"/>
        <v>1.0631666666666661</v>
      </c>
    </row>
    <row r="22" spans="2:20" ht="13.5" customHeight="1">
      <c r="B22" s="16" t="s">
        <v>23</v>
      </c>
      <c r="C22" s="10">
        <v>537400</v>
      </c>
      <c r="D22" s="10">
        <v>634700</v>
      </c>
      <c r="E22" s="10">
        <v>709100</v>
      </c>
      <c r="F22" s="10"/>
      <c r="G22" s="11">
        <f t="shared" si="9"/>
        <v>1881200</v>
      </c>
      <c r="H22" s="17"/>
      <c r="J22" t="s">
        <v>23</v>
      </c>
      <c r="K22" s="29">
        <f t="shared" si="4"/>
        <v>0.9774463441251364</v>
      </c>
      <c r="L22" s="30">
        <f t="shared" si="5"/>
        <v>0.8956666666666668</v>
      </c>
      <c r="M22" s="29">
        <f t="shared" si="1"/>
        <v>0.9700443221763717</v>
      </c>
      <c r="N22" s="30">
        <f t="shared" si="6"/>
        <v>1.0578333333333338</v>
      </c>
      <c r="O22" s="29">
        <f t="shared" si="2"/>
        <v>0.9992953776775648</v>
      </c>
      <c r="P22" s="30">
        <f t="shared" si="7"/>
        <v>1.1818333333333337</v>
      </c>
      <c r="Q22" s="30"/>
      <c r="R22" s="30"/>
      <c r="S22" s="29">
        <f t="shared" si="3"/>
        <v>0.9830171918273501</v>
      </c>
      <c r="T22" s="30">
        <f t="shared" si="8"/>
        <v>1.0451111111111107</v>
      </c>
    </row>
    <row r="23" spans="2:20" ht="13.5" customHeight="1">
      <c r="B23" s="16" t="s">
        <v>24</v>
      </c>
      <c r="C23" s="10">
        <v>568400</v>
      </c>
      <c r="D23" s="10">
        <v>668100</v>
      </c>
      <c r="E23" s="10">
        <v>740500</v>
      </c>
      <c r="F23" s="10"/>
      <c r="G23" s="11">
        <f t="shared" si="9"/>
        <v>1977000</v>
      </c>
      <c r="H23" s="17"/>
      <c r="J23" t="s">
        <v>24</v>
      </c>
      <c r="K23" s="29">
        <f t="shared" si="4"/>
        <v>1.0576851507257163</v>
      </c>
      <c r="L23" s="30">
        <f t="shared" si="5"/>
        <v>0.9473333333333335</v>
      </c>
      <c r="M23" s="29">
        <f t="shared" si="1"/>
        <v>1.0526232865920908</v>
      </c>
      <c r="N23" s="30">
        <f t="shared" si="6"/>
        <v>1.1135000000000006</v>
      </c>
      <c r="O23" s="29">
        <f t="shared" si="2"/>
        <v>1.0442814835707235</v>
      </c>
      <c r="P23" s="30">
        <f t="shared" si="7"/>
        <v>1.234166666666667</v>
      </c>
      <c r="Q23" s="30"/>
      <c r="R23" s="30"/>
      <c r="S23" s="29">
        <f t="shared" si="3"/>
        <v>1.050924941526685</v>
      </c>
      <c r="T23" s="30">
        <f t="shared" si="8"/>
        <v>1.0983333333333327</v>
      </c>
    </row>
    <row r="24" spans="2:20" ht="13.5" customHeight="1">
      <c r="B24" s="24" t="s">
        <v>25</v>
      </c>
      <c r="C24" s="25">
        <v>-26900</v>
      </c>
      <c r="D24" s="25">
        <v>-31700</v>
      </c>
      <c r="E24" s="25">
        <v>-35500</v>
      </c>
      <c r="F24" s="25"/>
      <c r="G24" s="26">
        <f t="shared" si="9"/>
        <v>-94100</v>
      </c>
      <c r="H24" s="27"/>
      <c r="J24" t="s">
        <v>25</v>
      </c>
      <c r="K24" s="29"/>
      <c r="L24" s="30"/>
      <c r="M24" s="29"/>
      <c r="N24" s="30"/>
      <c r="O24" s="29"/>
      <c r="P24" s="30"/>
      <c r="Q24" s="30"/>
      <c r="R24" s="30"/>
      <c r="S24" s="29"/>
      <c r="T24" s="30"/>
    </row>
    <row r="25" spans="2:20" ht="13.5" customHeight="1">
      <c r="B25" s="24" t="s">
        <v>26</v>
      </c>
      <c r="C25" s="25">
        <f>SUM(C23:C24)</f>
        <v>541500</v>
      </c>
      <c r="D25" s="25">
        <f>SUM(D23:D24)</f>
        <v>636400</v>
      </c>
      <c r="E25" s="25">
        <f>SUM(E23:E24)</f>
        <v>705000</v>
      </c>
      <c r="F25" s="25"/>
      <c r="G25" s="26">
        <f>SUM(G23:G24)</f>
        <v>1882900</v>
      </c>
      <c r="H25" s="27"/>
      <c r="J25" t="s">
        <v>26</v>
      </c>
      <c r="K25" s="29"/>
      <c r="L25" s="30"/>
      <c r="M25" s="29"/>
      <c r="N25" s="30"/>
      <c r="O25" s="29"/>
      <c r="P25" s="30"/>
      <c r="Q25" s="30"/>
      <c r="S25" s="29"/>
      <c r="T25" s="30"/>
    </row>
    <row r="26" spans="2:20" ht="13.5" customHeight="1">
      <c r="B26" s="16" t="s">
        <v>27</v>
      </c>
      <c r="C26" s="10">
        <v>539900</v>
      </c>
      <c r="D26" s="10">
        <v>648800</v>
      </c>
      <c r="E26" s="10">
        <v>723800</v>
      </c>
      <c r="F26" s="10"/>
      <c r="G26" s="11">
        <f t="shared" si="9"/>
        <v>1912500</v>
      </c>
      <c r="H26" s="17"/>
      <c r="J26" t="s">
        <v>27</v>
      </c>
      <c r="K26" s="29">
        <f>C26/C25</f>
        <v>0.997045244690674</v>
      </c>
      <c r="L26" s="30">
        <f>K26*L23</f>
        <v>0.9445341951369653</v>
      </c>
      <c r="M26" s="29">
        <f aca="true" t="shared" si="10" ref="M26:M37">D26/D25</f>
        <v>1.0194846008799496</v>
      </c>
      <c r="N26" s="30">
        <f>M26*N23</f>
        <v>1.1351961030798245</v>
      </c>
      <c r="O26" s="29">
        <f aca="true" t="shared" si="11" ref="O26:O37">E26/E25</f>
        <v>1.0266666666666666</v>
      </c>
      <c r="P26" s="30">
        <f>O26*P23</f>
        <v>1.2670777777777782</v>
      </c>
      <c r="Q26" s="30"/>
      <c r="R26" s="30"/>
      <c r="S26" s="29">
        <f aca="true" t="shared" si="12" ref="S26:S37">G26/G25</f>
        <v>1.0157204312496682</v>
      </c>
      <c r="T26" s="30">
        <f>S26*T23</f>
        <v>1.1155996069892182</v>
      </c>
    </row>
    <row r="27" spans="2:20" ht="13.5" customHeight="1">
      <c r="B27" s="16" t="s">
        <v>28</v>
      </c>
      <c r="C27" s="10">
        <v>529500</v>
      </c>
      <c r="D27" s="10">
        <v>664900</v>
      </c>
      <c r="E27" s="10">
        <v>716900</v>
      </c>
      <c r="F27" s="10"/>
      <c r="G27" s="11">
        <f t="shared" si="9"/>
        <v>1911300</v>
      </c>
      <c r="H27" s="17"/>
      <c r="J27" t="s">
        <v>28</v>
      </c>
      <c r="K27" s="29">
        <f aca="true" t="shared" si="13" ref="K27:K37">C27/C26</f>
        <v>0.9807371735506575</v>
      </c>
      <c r="L27" s="30">
        <f aca="true" t="shared" si="14" ref="L27:L37">K27*L26</f>
        <v>0.9263397968605726</v>
      </c>
      <c r="M27" s="29">
        <f t="shared" si="10"/>
        <v>1.0248150431565968</v>
      </c>
      <c r="N27" s="30">
        <f aca="true" t="shared" si="15" ref="N27:N37">M27*N26</f>
        <v>1.1633660433689508</v>
      </c>
      <c r="O27" s="29">
        <f t="shared" si="11"/>
        <v>0.9904669798286819</v>
      </c>
      <c r="P27" s="30">
        <f aca="true" t="shared" si="16" ref="P27:P37">O27*P26</f>
        <v>1.2549986997635938</v>
      </c>
      <c r="Q27" s="30"/>
      <c r="R27" s="30"/>
      <c r="S27" s="29">
        <f t="shared" si="12"/>
        <v>0.9993725490196078</v>
      </c>
      <c r="T27" s="30">
        <f aca="true" t="shared" si="17" ref="T27:T37">S27*T26</f>
        <v>1.1148996229220878</v>
      </c>
    </row>
    <row r="28" spans="2:20" ht="13.5" customHeight="1">
      <c r="B28" s="16" t="s">
        <v>29</v>
      </c>
      <c r="C28" s="10">
        <v>527400</v>
      </c>
      <c r="D28" s="10">
        <v>664900</v>
      </c>
      <c r="E28" s="10">
        <v>746700</v>
      </c>
      <c r="F28" s="10"/>
      <c r="G28" s="11">
        <f t="shared" si="9"/>
        <v>1939000</v>
      </c>
      <c r="H28" s="17"/>
      <c r="J28" t="s">
        <v>29</v>
      </c>
      <c r="K28" s="29">
        <f t="shared" si="13"/>
        <v>0.9960339943342776</v>
      </c>
      <c r="L28" s="30">
        <f t="shared" si="14"/>
        <v>0.9226659279778394</v>
      </c>
      <c r="M28" s="29">
        <f t="shared" si="10"/>
        <v>1</v>
      </c>
      <c r="N28" s="30">
        <f t="shared" si="15"/>
        <v>1.1633660433689508</v>
      </c>
      <c r="O28" s="29">
        <f t="shared" si="11"/>
        <v>1.0415678616264472</v>
      </c>
      <c r="P28" s="30">
        <f t="shared" si="16"/>
        <v>1.307166312056738</v>
      </c>
      <c r="Q28" s="30"/>
      <c r="R28" s="30"/>
      <c r="S28" s="29">
        <f t="shared" si="12"/>
        <v>1.0144927536231885</v>
      </c>
      <c r="T28" s="30">
        <f t="shared" si="17"/>
        <v>1.1310575884716834</v>
      </c>
    </row>
    <row r="29" spans="2:21" ht="13.5" customHeight="1">
      <c r="B29" s="16" t="s">
        <v>30</v>
      </c>
      <c r="C29" s="10">
        <v>506100</v>
      </c>
      <c r="D29" s="10">
        <v>657200</v>
      </c>
      <c r="E29" s="10">
        <v>732500</v>
      </c>
      <c r="F29" s="10"/>
      <c r="G29" s="11">
        <f t="shared" si="9"/>
        <v>1895800</v>
      </c>
      <c r="H29" s="17"/>
      <c r="J29" t="s">
        <v>30</v>
      </c>
      <c r="K29" s="29">
        <f t="shared" si="13"/>
        <v>0.959613196814562</v>
      </c>
      <c r="L29" s="30">
        <f t="shared" si="14"/>
        <v>0.8854024007386889</v>
      </c>
      <c r="M29" s="29">
        <f t="shared" si="10"/>
        <v>0.9884193111746127</v>
      </c>
      <c r="N29" s="30">
        <f t="shared" si="15"/>
        <v>1.149893463230673</v>
      </c>
      <c r="O29" s="29">
        <f t="shared" si="11"/>
        <v>0.9809829918307218</v>
      </c>
      <c r="P29" s="30">
        <f t="shared" si="16"/>
        <v>1.2823079196217497</v>
      </c>
      <c r="Q29" s="30"/>
      <c r="R29" s="30"/>
      <c r="S29" s="29">
        <f t="shared" si="12"/>
        <v>0.977720474471377</v>
      </c>
      <c r="T29" s="30">
        <f t="shared" si="17"/>
        <v>1.1058581620549857</v>
      </c>
      <c r="U29" s="61">
        <f>T29/T15-1</f>
        <v>0.048538080330264854</v>
      </c>
    </row>
    <row r="30" spans="2:20" ht="13.5" customHeight="1">
      <c r="B30" s="16" t="s">
        <v>31</v>
      </c>
      <c r="C30" s="10">
        <v>469300</v>
      </c>
      <c r="D30" s="10">
        <v>599200</v>
      </c>
      <c r="E30" s="10">
        <v>669000</v>
      </c>
      <c r="F30" s="10"/>
      <c r="G30" s="11">
        <f t="shared" si="9"/>
        <v>1737500</v>
      </c>
      <c r="H30" s="17"/>
      <c r="J30" t="s">
        <v>31</v>
      </c>
      <c r="K30" s="29">
        <f t="shared" si="13"/>
        <v>0.9272870974115788</v>
      </c>
      <c r="L30" s="30">
        <f t="shared" si="14"/>
        <v>0.8210222222222223</v>
      </c>
      <c r="M30" s="29">
        <f t="shared" si="10"/>
        <v>0.9117468046256847</v>
      </c>
      <c r="N30" s="30">
        <f t="shared" si="15"/>
        <v>1.0484116907605283</v>
      </c>
      <c r="O30" s="29">
        <f t="shared" si="11"/>
        <v>0.9133105802047782</v>
      </c>
      <c r="P30" s="30">
        <f t="shared" si="16"/>
        <v>1.1711453900709223</v>
      </c>
      <c r="Q30" s="30"/>
      <c r="R30" s="30"/>
      <c r="S30" s="29">
        <f t="shared" si="12"/>
        <v>0.9164996307627387</v>
      </c>
      <c r="T30" s="30">
        <f t="shared" si="17"/>
        <v>1.0135185971993552</v>
      </c>
    </row>
    <row r="31" spans="2:20" ht="13.5" customHeight="1">
      <c r="B31" s="16" t="s">
        <v>32</v>
      </c>
      <c r="C31" s="10">
        <v>480700</v>
      </c>
      <c r="D31" s="10">
        <v>625800</v>
      </c>
      <c r="E31" s="10">
        <v>681400</v>
      </c>
      <c r="F31" s="10"/>
      <c r="G31" s="11">
        <f t="shared" si="9"/>
        <v>1787900</v>
      </c>
      <c r="H31" s="17"/>
      <c r="J31" t="s">
        <v>32</v>
      </c>
      <c r="K31" s="29">
        <f t="shared" si="13"/>
        <v>1.0242914979757085</v>
      </c>
      <c r="L31" s="30">
        <f t="shared" si="14"/>
        <v>0.8409660818713451</v>
      </c>
      <c r="M31" s="29">
        <f t="shared" si="10"/>
        <v>1.044392523364486</v>
      </c>
      <c r="N31" s="30">
        <f t="shared" si="15"/>
        <v>1.0949533312382154</v>
      </c>
      <c r="O31" s="29">
        <f t="shared" si="11"/>
        <v>1.0185351270553065</v>
      </c>
      <c r="P31" s="30">
        <f t="shared" si="16"/>
        <v>1.1928527186761233</v>
      </c>
      <c r="Q31" s="30"/>
      <c r="R31" s="30"/>
      <c r="S31" s="29">
        <f t="shared" si="12"/>
        <v>1.0290071942446044</v>
      </c>
      <c r="T31" s="30">
        <f t="shared" si="17"/>
        <v>1.0429179280188359</v>
      </c>
    </row>
    <row r="32" spans="2:20" ht="13.5" customHeight="1">
      <c r="B32" s="16" t="s">
        <v>33</v>
      </c>
      <c r="C32" s="10">
        <v>507900</v>
      </c>
      <c r="D32" s="10">
        <v>651200</v>
      </c>
      <c r="E32" s="10">
        <v>722200</v>
      </c>
      <c r="F32" s="10"/>
      <c r="G32" s="11">
        <f t="shared" si="9"/>
        <v>1881300</v>
      </c>
      <c r="H32" s="17"/>
      <c r="J32" t="s">
        <v>33</v>
      </c>
      <c r="K32" s="29">
        <f t="shared" si="13"/>
        <v>1.0565841481173288</v>
      </c>
      <c r="L32" s="30">
        <f t="shared" si="14"/>
        <v>0.888551431209603</v>
      </c>
      <c r="M32" s="29">
        <f t="shared" si="10"/>
        <v>1.0405880472994566</v>
      </c>
      <c r="N32" s="30">
        <f t="shared" si="15"/>
        <v>1.1393953488372097</v>
      </c>
      <c r="O32" s="29">
        <f t="shared" si="11"/>
        <v>1.0598767243909597</v>
      </c>
      <c r="P32" s="30">
        <f t="shared" si="16"/>
        <v>1.2642768321513005</v>
      </c>
      <c r="Q32" s="30"/>
      <c r="R32" s="30"/>
      <c r="S32" s="29">
        <f t="shared" si="12"/>
        <v>1.0522400581688014</v>
      </c>
      <c r="T32" s="30">
        <f t="shared" si="17"/>
        <v>1.0974000212438257</v>
      </c>
    </row>
    <row r="33" spans="2:20" ht="13.5" customHeight="1">
      <c r="B33" s="16" t="s">
        <v>34</v>
      </c>
      <c r="C33" s="10">
        <v>518500</v>
      </c>
      <c r="D33" s="10">
        <v>673000</v>
      </c>
      <c r="E33" s="10">
        <v>746400</v>
      </c>
      <c r="F33" s="10"/>
      <c r="G33" s="11">
        <f aca="true" t="shared" si="18" ref="G33:G38">SUM(C33:E33)</f>
        <v>1937900</v>
      </c>
      <c r="H33" s="17"/>
      <c r="J33" t="s">
        <v>34</v>
      </c>
      <c r="K33" s="29">
        <f t="shared" si="13"/>
        <v>1.0208702500492224</v>
      </c>
      <c r="L33" s="30">
        <f t="shared" si="14"/>
        <v>0.9070957217605419</v>
      </c>
      <c r="M33" s="29">
        <f t="shared" si="10"/>
        <v>1.0334766584766584</v>
      </c>
      <c r="N33" s="30">
        <f t="shared" si="15"/>
        <v>1.177538497800126</v>
      </c>
      <c r="O33" s="29">
        <f t="shared" si="11"/>
        <v>1.0335087233453337</v>
      </c>
      <c r="P33" s="30">
        <f t="shared" si="16"/>
        <v>1.3066411347517732</v>
      </c>
      <c r="Q33" s="30"/>
      <c r="R33" s="30"/>
      <c r="S33" s="29">
        <f t="shared" si="12"/>
        <v>1.0300855791208208</v>
      </c>
      <c r="T33" s="30">
        <f t="shared" si="17"/>
        <v>1.1304159364101471</v>
      </c>
    </row>
    <row r="34" spans="2:20" ht="13.5" customHeight="1">
      <c r="B34" s="16" t="s">
        <v>35</v>
      </c>
      <c r="C34" s="10">
        <v>497100</v>
      </c>
      <c r="D34" s="10">
        <v>675600</v>
      </c>
      <c r="E34" s="10">
        <v>736000</v>
      </c>
      <c r="F34" s="10"/>
      <c r="G34" s="11">
        <f t="shared" si="18"/>
        <v>1908700</v>
      </c>
      <c r="H34" s="17"/>
      <c r="J34" t="s">
        <v>35</v>
      </c>
      <c r="K34" s="29">
        <f t="shared" si="13"/>
        <v>0.9587270973963355</v>
      </c>
      <c r="L34" s="30">
        <f t="shared" si="14"/>
        <v>0.8696572483841183</v>
      </c>
      <c r="M34" s="29">
        <f t="shared" si="10"/>
        <v>1.0038632986627043</v>
      </c>
      <c r="N34" s="30">
        <f t="shared" si="15"/>
        <v>1.18208768070396</v>
      </c>
      <c r="O34" s="29">
        <f t="shared" si="11"/>
        <v>0.9860664523043944</v>
      </c>
      <c r="P34" s="30">
        <f t="shared" si="16"/>
        <v>1.288434988179669</v>
      </c>
      <c r="Q34" s="30"/>
      <c r="R34" s="30"/>
      <c r="S34" s="29">
        <f t="shared" si="12"/>
        <v>0.9849321430414366</v>
      </c>
      <c r="T34" s="30">
        <f t="shared" si="17"/>
        <v>1.1133829907766386</v>
      </c>
    </row>
    <row r="35" spans="2:20" ht="13.5" customHeight="1">
      <c r="B35" s="16" t="s">
        <v>36</v>
      </c>
      <c r="C35" s="10">
        <v>482600</v>
      </c>
      <c r="D35" s="10">
        <v>669900</v>
      </c>
      <c r="E35" s="10">
        <v>724000</v>
      </c>
      <c r="F35" s="10"/>
      <c r="G35" s="11">
        <f t="shared" si="18"/>
        <v>1876500</v>
      </c>
      <c r="H35" s="17"/>
      <c r="J35" t="s">
        <v>36</v>
      </c>
      <c r="K35" s="29">
        <f t="shared" si="13"/>
        <v>0.9708308187487427</v>
      </c>
      <c r="L35" s="30">
        <f t="shared" si="14"/>
        <v>0.8442900584795322</v>
      </c>
      <c r="M35" s="29">
        <f t="shared" si="10"/>
        <v>0.9915630550621669</v>
      </c>
      <c r="N35" s="30">
        <f t="shared" si="15"/>
        <v>1.17211447203017</v>
      </c>
      <c r="O35" s="29">
        <f t="shared" si="11"/>
        <v>0.9836956521739131</v>
      </c>
      <c r="P35" s="30">
        <f t="shared" si="16"/>
        <v>1.2674278959810876</v>
      </c>
      <c r="Q35" s="30"/>
      <c r="R35" s="30"/>
      <c r="S35" s="29">
        <f t="shared" si="12"/>
        <v>0.9831298789752188</v>
      </c>
      <c r="T35" s="30">
        <f t="shared" si="17"/>
        <v>1.0946000849753037</v>
      </c>
    </row>
    <row r="36" spans="2:20" ht="13.5" customHeight="1">
      <c r="B36" s="16" t="s">
        <v>38</v>
      </c>
      <c r="C36" s="10">
        <v>488500</v>
      </c>
      <c r="D36" s="10">
        <v>695400</v>
      </c>
      <c r="E36" s="10">
        <v>763000</v>
      </c>
      <c r="F36" s="10"/>
      <c r="G36" s="11">
        <f t="shared" si="18"/>
        <v>1946900</v>
      </c>
      <c r="H36" s="17"/>
      <c r="J36" t="s">
        <v>38</v>
      </c>
      <c r="K36" s="29">
        <f t="shared" si="13"/>
        <v>1.0122254455035227</v>
      </c>
      <c r="L36" s="30">
        <f t="shared" si="14"/>
        <v>0.8546118805786397</v>
      </c>
      <c r="M36" s="29">
        <f t="shared" si="10"/>
        <v>1.0380653828929691</v>
      </c>
      <c r="N36" s="30">
        <f t="shared" si="15"/>
        <v>1.2167314582023887</v>
      </c>
      <c r="O36" s="29">
        <f t="shared" si="11"/>
        <v>1.0538674033149171</v>
      </c>
      <c r="P36" s="30">
        <f t="shared" si="16"/>
        <v>1.3357009456264777</v>
      </c>
      <c r="Q36" s="30"/>
      <c r="R36" s="30"/>
      <c r="S36" s="29">
        <f t="shared" si="12"/>
        <v>1.0375166533439915</v>
      </c>
      <c r="T36" s="30">
        <f t="shared" si="17"/>
        <v>1.1356658169136258</v>
      </c>
    </row>
    <row r="37" spans="2:20" ht="13.5" customHeight="1">
      <c r="B37" s="16" t="s">
        <v>37</v>
      </c>
      <c r="C37" s="10">
        <v>444100</v>
      </c>
      <c r="D37" s="10">
        <v>709900</v>
      </c>
      <c r="E37" s="10">
        <v>739500</v>
      </c>
      <c r="F37" s="10"/>
      <c r="G37" s="11">
        <f t="shared" si="18"/>
        <v>1893500</v>
      </c>
      <c r="H37" s="17"/>
      <c r="J37" t="s">
        <v>37</v>
      </c>
      <c r="K37" s="29">
        <f t="shared" si="13"/>
        <v>0.9091095189355168</v>
      </c>
      <c r="L37" s="30">
        <f t="shared" si="14"/>
        <v>0.7769357956294245</v>
      </c>
      <c r="M37" s="29">
        <f t="shared" si="10"/>
        <v>1.0208513085993673</v>
      </c>
      <c r="N37" s="30">
        <f t="shared" si="15"/>
        <v>1.242101901319925</v>
      </c>
      <c r="O37" s="29">
        <f t="shared" si="11"/>
        <v>0.9692005242463958</v>
      </c>
      <c r="P37" s="30">
        <f t="shared" si="16"/>
        <v>1.2945620567375888</v>
      </c>
      <c r="Q37" s="30"/>
      <c r="R37" s="30">
        <v>1</v>
      </c>
      <c r="S37" s="29">
        <f t="shared" si="12"/>
        <v>0.9725717807797011</v>
      </c>
      <c r="T37" s="30">
        <f t="shared" si="17"/>
        <v>1.104516525926319</v>
      </c>
    </row>
    <row r="38" spans="2:20" ht="13.5" customHeight="1">
      <c r="B38" s="24" t="s">
        <v>39</v>
      </c>
      <c r="C38" s="25">
        <v>-24420</v>
      </c>
      <c r="D38" s="25">
        <v>-34770</v>
      </c>
      <c r="E38" s="25">
        <v>-38150</v>
      </c>
      <c r="F38" s="25"/>
      <c r="G38" s="26">
        <f t="shared" si="18"/>
        <v>-97340</v>
      </c>
      <c r="H38" s="27"/>
      <c r="J38" t="s">
        <v>39</v>
      </c>
      <c r="K38" s="29"/>
      <c r="L38" s="30"/>
      <c r="M38" s="29"/>
      <c r="N38" s="30"/>
      <c r="O38" s="29"/>
      <c r="P38" s="30"/>
      <c r="Q38" s="30"/>
      <c r="R38" s="30"/>
      <c r="S38" s="29"/>
      <c r="T38" s="30"/>
    </row>
    <row r="39" spans="2:20" ht="13.5" customHeight="1">
      <c r="B39" s="24" t="s">
        <v>40</v>
      </c>
      <c r="C39" s="25">
        <v>-125447</v>
      </c>
      <c r="D39" s="25">
        <v>-178597</v>
      </c>
      <c r="E39" s="25">
        <v>-195956</v>
      </c>
      <c r="F39" s="25">
        <f>-SUM(C39:E39)</f>
        <v>500000</v>
      </c>
      <c r="G39" s="26">
        <f>SUM(C39:F39)</f>
        <v>0</v>
      </c>
      <c r="H39" s="27"/>
      <c r="J39" t="s">
        <v>40</v>
      </c>
      <c r="K39" s="29"/>
      <c r="L39" s="30"/>
      <c r="M39" s="29"/>
      <c r="N39" s="29"/>
      <c r="O39" s="29"/>
      <c r="P39" s="29"/>
      <c r="Q39" s="30"/>
      <c r="R39" s="30"/>
      <c r="S39" s="29"/>
      <c r="T39" s="29"/>
    </row>
    <row r="40" spans="2:20" ht="13.5" customHeight="1">
      <c r="B40" s="24" t="s">
        <v>41</v>
      </c>
      <c r="C40" s="25">
        <f>SUM(C37:C39)</f>
        <v>294233</v>
      </c>
      <c r="D40" s="25">
        <f>SUM(D37:D39)</f>
        <v>496533</v>
      </c>
      <c r="E40" s="25">
        <f>SUM(E37:E39)</f>
        <v>505394</v>
      </c>
      <c r="F40" s="25">
        <v>500000</v>
      </c>
      <c r="G40" s="26">
        <f>SUM(G37:G39)</f>
        <v>1796160</v>
      </c>
      <c r="H40" s="27"/>
      <c r="J40" t="s">
        <v>41</v>
      </c>
      <c r="K40" s="29"/>
      <c r="L40" s="30"/>
      <c r="M40" s="29"/>
      <c r="N40" s="29"/>
      <c r="O40" s="29"/>
      <c r="P40" s="29"/>
      <c r="Q40" s="30"/>
      <c r="R40" s="30"/>
      <c r="S40" s="29"/>
      <c r="T40" s="29"/>
    </row>
    <row r="41" spans="2:26" ht="13.5" customHeight="1">
      <c r="B41" s="16" t="s">
        <v>42</v>
      </c>
      <c r="C41" s="10">
        <v>285100</v>
      </c>
      <c r="D41" s="10">
        <v>490500</v>
      </c>
      <c r="E41" s="10">
        <v>501300</v>
      </c>
      <c r="F41" s="10">
        <v>501300</v>
      </c>
      <c r="G41" s="11">
        <f aca="true" t="shared" si="19" ref="G41:G52">SUM(C41:F41)</f>
        <v>1778200</v>
      </c>
      <c r="H41" s="17"/>
      <c r="J41" t="s">
        <v>42</v>
      </c>
      <c r="K41" s="29">
        <f aca="true" t="shared" si="20" ref="K41:K46">C41/C40</f>
        <v>0.9689599738982371</v>
      </c>
      <c r="L41" s="30">
        <f>K41*L37</f>
        <v>0.7528196882536932</v>
      </c>
      <c r="M41" s="29">
        <f aca="true" t="shared" si="21" ref="M41:M46">D41/D40</f>
        <v>0.9878497501676625</v>
      </c>
      <c r="N41" s="30">
        <f>M41*N37</f>
        <v>1.2270100529016665</v>
      </c>
      <c r="O41" s="29">
        <f aca="true" t="shared" si="22" ref="O41:O46">E41/E40</f>
        <v>0.9918993893872899</v>
      </c>
      <c r="P41" s="30">
        <f>O41*P37</f>
        <v>1.2840753136019685</v>
      </c>
      <c r="Q41" s="29">
        <f aca="true" t="shared" si="23" ref="Q41:Q46">F41/F40</f>
        <v>1.0026</v>
      </c>
      <c r="R41" s="30">
        <f>Q41*R37</f>
        <v>1.0026</v>
      </c>
      <c r="S41" s="29">
        <f aca="true" t="shared" si="24" ref="S41:S46">G41/G40</f>
        <v>0.9900008907892393</v>
      </c>
      <c r="T41" s="30">
        <f>S41*T37</f>
        <v>1.0934723445584917</v>
      </c>
      <c r="V41" s="50">
        <f>C41/G41</f>
        <v>0.16033067146552693</v>
      </c>
      <c r="W41" s="50">
        <f>D41/G41</f>
        <v>0.2758407378247666</v>
      </c>
      <c r="X41" s="50">
        <f>E41/G41</f>
        <v>0.28191429535485324</v>
      </c>
      <c r="Y41" s="50">
        <f aca="true" t="shared" si="25" ref="Y41:Y52">F41/G41</f>
        <v>0.28191429535485324</v>
      </c>
      <c r="Z41" s="50">
        <f>SUM(V41:Y41)</f>
        <v>1</v>
      </c>
    </row>
    <row r="42" spans="2:26" ht="13.5" customHeight="1">
      <c r="B42" s="16" t="s">
        <v>51</v>
      </c>
      <c r="C42" s="10">
        <f>249000+3000</f>
        <v>252000</v>
      </c>
      <c r="D42" s="10">
        <v>477700</v>
      </c>
      <c r="E42" s="10">
        <v>470500</v>
      </c>
      <c r="F42" s="10">
        <f>424900+76000</f>
        <v>500900</v>
      </c>
      <c r="G42" s="11">
        <f t="shared" si="19"/>
        <v>1701100</v>
      </c>
      <c r="H42" s="17"/>
      <c r="J42" t="s">
        <v>51</v>
      </c>
      <c r="K42" s="29">
        <f t="shared" si="20"/>
        <v>0.8839003858295335</v>
      </c>
      <c r="L42" s="30">
        <f aca="true" t="shared" si="26" ref="L42:L47">K42*L41</f>
        <v>0.6654176129075084</v>
      </c>
      <c r="M42" s="29">
        <f t="shared" si="21"/>
        <v>0.9739041794087666</v>
      </c>
      <c r="N42" s="30">
        <f aca="true" t="shared" si="27" ref="N42:N47">M42*N41</f>
        <v>1.1949902186975048</v>
      </c>
      <c r="O42" s="29">
        <f t="shared" si="22"/>
        <v>0.9385597446638739</v>
      </c>
      <c r="P42" s="30">
        <f aca="true" t="shared" si="28" ref="P42:P47">O42*P41</f>
        <v>1.2051813984634474</v>
      </c>
      <c r="Q42" s="29">
        <f t="shared" si="23"/>
        <v>0.9992020746060243</v>
      </c>
      <c r="R42" s="30">
        <f aca="true" t="shared" si="29" ref="R42:R47">Q42*R41</f>
        <v>1.0017999999999998</v>
      </c>
      <c r="S42" s="29">
        <f t="shared" si="24"/>
        <v>0.9566415476324373</v>
      </c>
      <c r="T42" s="30">
        <f aca="true" t="shared" si="30" ref="T42:T47">S42*T41</f>
        <v>1.0460610759917053</v>
      </c>
      <c r="V42" s="50">
        <f aca="true" t="shared" si="31" ref="V42:V52">C42/G42</f>
        <v>0.1481394391864088</v>
      </c>
      <c r="W42" s="50">
        <f aca="true" t="shared" si="32" ref="W42:W52">D42/G42</f>
        <v>0.28081829404502967</v>
      </c>
      <c r="X42" s="50">
        <f aca="true" t="shared" si="33" ref="X42:X52">E42/G42</f>
        <v>0.2765857386397037</v>
      </c>
      <c r="Y42" s="50">
        <f t="shared" si="25"/>
        <v>0.2944565281288578</v>
      </c>
      <c r="Z42" s="50">
        <f aca="true" t="shared" si="34" ref="Z42:Z75">SUM(V42:Y42)</f>
        <v>1</v>
      </c>
    </row>
    <row r="43" spans="2:26" ht="13.5" customHeight="1">
      <c r="B43" s="16" t="s">
        <v>52</v>
      </c>
      <c r="C43" s="10">
        <f>229200+3000</f>
        <v>232200</v>
      </c>
      <c r="D43" s="10">
        <v>433300</v>
      </c>
      <c r="E43" s="10">
        <v>431000</v>
      </c>
      <c r="F43" s="10">
        <f>425800+75500+1800</f>
        <v>503100</v>
      </c>
      <c r="G43" s="11">
        <f t="shared" si="19"/>
        <v>1599600</v>
      </c>
      <c r="H43" s="17"/>
      <c r="J43" t="s">
        <v>52</v>
      </c>
      <c r="K43" s="29">
        <f t="shared" si="20"/>
        <v>0.9214285714285714</v>
      </c>
      <c r="L43" s="30">
        <f t="shared" si="26"/>
        <v>0.6131348004647756</v>
      </c>
      <c r="M43" s="29">
        <f t="shared" si="21"/>
        <v>0.9070546368013398</v>
      </c>
      <c r="N43" s="30">
        <f t="shared" si="27"/>
        <v>1.0839214188018187</v>
      </c>
      <c r="O43" s="29">
        <f t="shared" si="22"/>
        <v>0.9160467587672688</v>
      </c>
      <c r="P43" s="30">
        <f t="shared" si="28"/>
        <v>1.1040025137890452</v>
      </c>
      <c r="Q43" s="29">
        <f t="shared" si="23"/>
        <v>1.0043920942303852</v>
      </c>
      <c r="R43" s="30">
        <f t="shared" si="29"/>
        <v>1.0061999999999998</v>
      </c>
      <c r="S43" s="29">
        <f t="shared" si="24"/>
        <v>0.940332725883252</v>
      </c>
      <c r="T43" s="30">
        <f t="shared" si="30"/>
        <v>0.9836454630276479</v>
      </c>
      <c r="V43" s="50">
        <f t="shared" si="31"/>
        <v>0.14516129032258066</v>
      </c>
      <c r="W43" s="50">
        <f t="shared" si="32"/>
        <v>0.2708802200550138</v>
      </c>
      <c r="X43" s="50">
        <f t="shared" si="33"/>
        <v>0.26944236059014753</v>
      </c>
      <c r="Y43" s="50">
        <f t="shared" si="25"/>
        <v>0.31451612903225806</v>
      </c>
      <c r="Z43" s="50">
        <f t="shared" si="34"/>
        <v>1</v>
      </c>
    </row>
    <row r="44" spans="2:26" ht="13.5" customHeight="1">
      <c r="B44" s="16" t="s">
        <v>53</v>
      </c>
      <c r="C44" s="10">
        <f>230100+3000</f>
        <v>233100</v>
      </c>
      <c r="D44" s="10">
        <v>448000</v>
      </c>
      <c r="E44" s="10">
        <v>428400</v>
      </c>
      <c r="F44" s="10">
        <f>430900+82200-3000</f>
        <v>510100</v>
      </c>
      <c r="G44" s="11">
        <f t="shared" si="19"/>
        <v>1619600</v>
      </c>
      <c r="H44" s="17"/>
      <c r="J44" t="s">
        <v>53</v>
      </c>
      <c r="K44" s="29">
        <f t="shared" si="20"/>
        <v>1.003875968992248</v>
      </c>
      <c r="L44" s="30">
        <f t="shared" si="26"/>
        <v>0.6155112919394453</v>
      </c>
      <c r="M44" s="29">
        <f t="shared" si="21"/>
        <v>1.0339256865912763</v>
      </c>
      <c r="N44" s="30">
        <f t="shared" si="27"/>
        <v>1.1206941971456608</v>
      </c>
      <c r="O44" s="29">
        <f t="shared" si="22"/>
        <v>0.9939675174013921</v>
      </c>
      <c r="P44" s="30">
        <f t="shared" si="28"/>
        <v>1.0973426378357936</v>
      </c>
      <c r="Q44" s="29">
        <f t="shared" si="23"/>
        <v>1.0139137348439673</v>
      </c>
      <c r="R44" s="30">
        <f t="shared" si="29"/>
        <v>1.0201999999999996</v>
      </c>
      <c r="S44" s="29">
        <f t="shared" si="24"/>
        <v>1.0125031257814454</v>
      </c>
      <c r="T44" s="30">
        <f t="shared" si="30"/>
        <v>0.9959441059762307</v>
      </c>
      <c r="U44" s="61">
        <f>T44/T29-1</f>
        <v>-0.09939254404426034</v>
      </c>
      <c r="V44" s="50">
        <f t="shared" si="31"/>
        <v>0.14392442578414424</v>
      </c>
      <c r="W44" s="50">
        <f t="shared" si="32"/>
        <v>0.2766115090145715</v>
      </c>
      <c r="X44" s="50">
        <f t="shared" si="33"/>
        <v>0.264509755495184</v>
      </c>
      <c r="Y44" s="50">
        <f t="shared" si="25"/>
        <v>0.3149543097061003</v>
      </c>
      <c r="Z44" s="50">
        <f t="shared" si="34"/>
        <v>1</v>
      </c>
    </row>
    <row r="45" spans="2:26" ht="13.5" customHeight="1">
      <c r="B45" s="45" t="s">
        <v>63</v>
      </c>
      <c r="C45" s="10">
        <f>208100+3000</f>
        <v>211100</v>
      </c>
      <c r="D45" s="10">
        <v>431500</v>
      </c>
      <c r="E45" s="10">
        <v>375200</v>
      </c>
      <c r="F45" s="10">
        <f>433300+84200-3000</f>
        <v>514500</v>
      </c>
      <c r="G45" s="11">
        <f t="shared" si="19"/>
        <v>1532300</v>
      </c>
      <c r="H45" s="17"/>
      <c r="J45" t="s">
        <v>63</v>
      </c>
      <c r="K45" s="29">
        <f t="shared" si="20"/>
        <v>0.9056199056199056</v>
      </c>
      <c r="L45" s="30">
        <f t="shared" si="26"/>
        <v>0.5574192781141866</v>
      </c>
      <c r="M45" s="29">
        <f t="shared" si="21"/>
        <v>0.9631696428571429</v>
      </c>
      <c r="N45" s="30">
        <f t="shared" si="27"/>
        <v>1.0794186296168586</v>
      </c>
      <c r="O45" s="29">
        <f t="shared" si="22"/>
        <v>0.8758169934640523</v>
      </c>
      <c r="P45" s="30">
        <f t="shared" si="28"/>
        <v>0.9610713298692571</v>
      </c>
      <c r="Q45" s="29">
        <f t="shared" si="23"/>
        <v>1.0086257596549697</v>
      </c>
      <c r="R45" s="30">
        <f t="shared" si="29"/>
        <v>1.0289999999999997</v>
      </c>
      <c r="S45" s="29">
        <f t="shared" si="24"/>
        <v>0.9460978019264016</v>
      </c>
      <c r="T45" s="30">
        <f t="shared" si="30"/>
        <v>0.9422605295056671</v>
      </c>
      <c r="V45" s="50">
        <f t="shared" si="31"/>
        <v>0.13776675585720813</v>
      </c>
      <c r="W45" s="50">
        <f t="shared" si="32"/>
        <v>0.2816028192912615</v>
      </c>
      <c r="X45" s="50">
        <f t="shared" si="33"/>
        <v>0.24486066697121975</v>
      </c>
      <c r="Y45" s="50">
        <f t="shared" si="25"/>
        <v>0.33576975788031066</v>
      </c>
      <c r="Z45" s="50">
        <f t="shared" si="34"/>
        <v>1</v>
      </c>
    </row>
    <row r="46" spans="2:26" ht="13.5" customHeight="1">
      <c r="B46" s="45" t="s">
        <v>64</v>
      </c>
      <c r="C46" s="10">
        <f>199800+28000</f>
        <v>227800</v>
      </c>
      <c r="D46" s="10">
        <v>428900</v>
      </c>
      <c r="E46" s="10">
        <v>371200</v>
      </c>
      <c r="F46" s="10">
        <f>489800+27000</f>
        <v>516800</v>
      </c>
      <c r="G46" s="11">
        <f t="shared" si="19"/>
        <v>1544700</v>
      </c>
      <c r="H46" s="17"/>
      <c r="J46" s="46" t="s">
        <v>64</v>
      </c>
      <c r="K46" s="29">
        <f t="shared" si="20"/>
        <v>1.0791094268119374</v>
      </c>
      <c r="L46" s="30">
        <f t="shared" si="26"/>
        <v>0.6015163976997238</v>
      </c>
      <c r="M46" s="29">
        <f t="shared" si="21"/>
        <v>0.9939745075318656</v>
      </c>
      <c r="N46" s="30">
        <f t="shared" si="27"/>
        <v>1.0729146007941384</v>
      </c>
      <c r="O46" s="29">
        <f t="shared" si="22"/>
        <v>0.9893390191897654</v>
      </c>
      <c r="P46" s="30">
        <f t="shared" si="28"/>
        <v>0.9508253668642543</v>
      </c>
      <c r="Q46" s="29">
        <f t="shared" si="23"/>
        <v>1.0044703595724005</v>
      </c>
      <c r="R46" s="30">
        <f t="shared" si="29"/>
        <v>1.0335999999999999</v>
      </c>
      <c r="S46" s="29">
        <f t="shared" si="24"/>
        <v>1.0080924101024604</v>
      </c>
      <c r="T46" s="30">
        <f t="shared" si="30"/>
        <v>0.9498856881337885</v>
      </c>
      <c r="V46" s="50">
        <f t="shared" si="31"/>
        <v>0.14747200103579983</v>
      </c>
      <c r="W46" s="50">
        <f t="shared" si="32"/>
        <v>0.2776590923803975</v>
      </c>
      <c r="X46" s="50">
        <f t="shared" si="33"/>
        <v>0.24030556095034636</v>
      </c>
      <c r="Y46" s="50">
        <f t="shared" si="25"/>
        <v>0.33456334563345635</v>
      </c>
      <c r="Z46" s="50">
        <f t="shared" si="34"/>
        <v>1</v>
      </c>
    </row>
    <row r="47" spans="2:26" ht="13.5" customHeight="1">
      <c r="B47" s="45" t="s">
        <v>65</v>
      </c>
      <c r="C47" s="10">
        <f>218700+14100</f>
        <v>232800</v>
      </c>
      <c r="D47" s="10">
        <v>443000</v>
      </c>
      <c r="E47" s="10">
        <v>386200</v>
      </c>
      <c r="F47" s="10">
        <f>490700+30100</f>
        <v>520800</v>
      </c>
      <c r="G47" s="11">
        <f t="shared" si="19"/>
        <v>1582800</v>
      </c>
      <c r="H47" s="17"/>
      <c r="J47" s="46" t="s">
        <v>65</v>
      </c>
      <c r="K47" s="29">
        <f aca="true" t="shared" si="35" ref="K47:K52">C47/C46</f>
        <v>1.0219490781387182</v>
      </c>
      <c r="L47" s="30">
        <f t="shared" si="26"/>
        <v>0.6147191281145553</v>
      </c>
      <c r="M47" s="29">
        <f aca="true" t="shared" si="36" ref="M47:M52">D47/D46</f>
        <v>1.0328747959897413</v>
      </c>
      <c r="N47" s="30">
        <f t="shared" si="27"/>
        <v>1.1081864494096605</v>
      </c>
      <c r="O47" s="29">
        <f aca="true" t="shared" si="37" ref="O47:O52">E47/E46</f>
        <v>1.0404094827586208</v>
      </c>
      <c r="P47" s="30">
        <f t="shared" si="28"/>
        <v>0.9892477281330146</v>
      </c>
      <c r="Q47" s="29">
        <f aca="true" t="shared" si="38" ref="Q47:Q52">F47/F46</f>
        <v>1.0077399380804954</v>
      </c>
      <c r="R47" s="30">
        <f t="shared" si="29"/>
        <v>1.0415999999999999</v>
      </c>
      <c r="S47" s="29">
        <f aca="true" t="shared" si="39" ref="S47:S52">G47/G46</f>
        <v>1.0246649834919401</v>
      </c>
      <c r="T47" s="30">
        <f t="shared" si="30"/>
        <v>0.9733146029508386</v>
      </c>
      <c r="V47" s="50">
        <f t="shared" si="31"/>
        <v>0.1470811220621683</v>
      </c>
      <c r="W47" s="50">
        <f t="shared" si="32"/>
        <v>0.2798837503158959</v>
      </c>
      <c r="X47" s="50">
        <f t="shared" si="33"/>
        <v>0.2439979782663634</v>
      </c>
      <c r="Y47" s="50">
        <f t="shared" si="25"/>
        <v>0.3290371493555724</v>
      </c>
      <c r="Z47" s="50">
        <f t="shared" si="34"/>
        <v>1</v>
      </c>
    </row>
    <row r="48" spans="2:26" ht="13.5" customHeight="1">
      <c r="B48" s="45" t="s">
        <v>67</v>
      </c>
      <c r="C48" s="10">
        <f>197900+20900</f>
        <v>218800</v>
      </c>
      <c r="D48" s="10">
        <v>432000</v>
      </c>
      <c r="E48" s="10">
        <v>372100</v>
      </c>
      <c r="F48" s="10">
        <f>499900+32300</f>
        <v>532200</v>
      </c>
      <c r="G48" s="11">
        <f t="shared" si="19"/>
        <v>1555100</v>
      </c>
      <c r="H48" s="17"/>
      <c r="J48" t="s">
        <v>67</v>
      </c>
      <c r="K48" s="29">
        <f t="shared" si="35"/>
        <v>0.9398625429553265</v>
      </c>
      <c r="L48" s="30">
        <f>K48*L47</f>
        <v>0.577751482953027</v>
      </c>
      <c r="M48" s="29">
        <f t="shared" si="36"/>
        <v>0.9751693002257337</v>
      </c>
      <c r="N48" s="30">
        <f>M48*N47</f>
        <v>1.080669404390459</v>
      </c>
      <c r="O48" s="29">
        <f t="shared" si="37"/>
        <v>0.9634904194717763</v>
      </c>
      <c r="P48" s="30">
        <f>O48*P47</f>
        <v>0.95313070854038</v>
      </c>
      <c r="Q48" s="29">
        <f t="shared" si="38"/>
        <v>1.021889400921659</v>
      </c>
      <c r="R48" s="30">
        <f>Q48*R47</f>
        <v>1.0644</v>
      </c>
      <c r="S48" s="29">
        <f t="shared" si="39"/>
        <v>0.9824993682082386</v>
      </c>
      <c r="T48" s="30">
        <f>S48*T47</f>
        <v>0.9562809824670515</v>
      </c>
      <c r="V48" s="50">
        <f t="shared" si="31"/>
        <v>0.14069834737315928</v>
      </c>
      <c r="W48" s="50">
        <f t="shared" si="32"/>
        <v>0.2777956401517587</v>
      </c>
      <c r="X48" s="50">
        <f t="shared" si="33"/>
        <v>0.23927721689923478</v>
      </c>
      <c r="Y48" s="50">
        <f t="shared" si="25"/>
        <v>0.34222879557584723</v>
      </c>
      <c r="Z48" s="50">
        <f t="shared" si="34"/>
        <v>1</v>
      </c>
    </row>
    <row r="49" spans="2:26" ht="13.5" customHeight="1">
      <c r="B49" s="45" t="s">
        <v>224</v>
      </c>
      <c r="C49" s="10">
        <f>195900+20700</f>
        <v>216600</v>
      </c>
      <c r="D49" s="10">
        <v>418800</v>
      </c>
      <c r="E49" s="10">
        <v>370500</v>
      </c>
      <c r="F49" s="10">
        <f>497900+33900</f>
        <v>531800</v>
      </c>
      <c r="G49" s="11">
        <f t="shared" si="19"/>
        <v>1537700</v>
      </c>
      <c r="H49" s="17"/>
      <c r="J49" t="s">
        <v>68</v>
      </c>
      <c r="K49" s="29">
        <f t="shared" si="35"/>
        <v>0.9899451553930531</v>
      </c>
      <c r="L49" s="30">
        <f>K49*L48</f>
        <v>0.5719422815705012</v>
      </c>
      <c r="M49" s="29">
        <f t="shared" si="36"/>
        <v>0.9694444444444444</v>
      </c>
      <c r="N49" s="30">
        <f>M49*N48</f>
        <v>1.0476489503674171</v>
      </c>
      <c r="O49" s="29">
        <f t="shared" si="37"/>
        <v>0.9957000806234884</v>
      </c>
      <c r="P49" s="30">
        <f>O49*P48</f>
        <v>0.949032323338379</v>
      </c>
      <c r="Q49" s="29">
        <f t="shared" si="38"/>
        <v>0.9992484028560692</v>
      </c>
      <c r="R49" s="30">
        <f>Q49*R48</f>
        <v>1.0636</v>
      </c>
      <c r="S49" s="29">
        <f t="shared" si="39"/>
        <v>0.988811008938332</v>
      </c>
      <c r="T49" s="30">
        <f>S49*T48</f>
        <v>0.9455811631017845</v>
      </c>
      <c r="V49" s="50">
        <f t="shared" si="31"/>
        <v>0.14085972556415427</v>
      </c>
      <c r="W49" s="50">
        <f t="shared" si="32"/>
        <v>0.2723548156337387</v>
      </c>
      <c r="X49" s="50">
        <f t="shared" si="33"/>
        <v>0.24094426741236913</v>
      </c>
      <c r="Y49" s="50">
        <f t="shared" si="25"/>
        <v>0.3458411913897379</v>
      </c>
      <c r="Z49" s="50">
        <f t="shared" si="34"/>
        <v>1</v>
      </c>
    </row>
    <row r="50" spans="2:26" ht="13.5" customHeight="1">
      <c r="B50" s="45" t="s">
        <v>69</v>
      </c>
      <c r="C50" s="10">
        <f>192300+20700+100</f>
        <v>213100</v>
      </c>
      <c r="D50" s="10">
        <v>412800</v>
      </c>
      <c r="E50" s="10">
        <v>352500</v>
      </c>
      <c r="F50" s="10">
        <f>502800+35800</f>
        <v>538600</v>
      </c>
      <c r="G50" s="11">
        <f t="shared" si="19"/>
        <v>1517000</v>
      </c>
      <c r="H50" s="17"/>
      <c r="J50" t="s">
        <v>69</v>
      </c>
      <c r="K50" s="29">
        <f t="shared" si="35"/>
        <v>0.9838411819021238</v>
      </c>
      <c r="L50" s="30">
        <f>K50*L49</f>
        <v>0.5627003702801192</v>
      </c>
      <c r="M50" s="29">
        <f t="shared" si="36"/>
        <v>0.9856733524355301</v>
      </c>
      <c r="N50" s="30">
        <f>M50*N49</f>
        <v>1.0326396530842163</v>
      </c>
      <c r="O50" s="29">
        <f t="shared" si="37"/>
        <v>0.951417004048583</v>
      </c>
      <c r="P50" s="30">
        <f>O50*P49</f>
        <v>0.9029254898158666</v>
      </c>
      <c r="Q50" s="29">
        <f t="shared" si="38"/>
        <v>1.0127867619405793</v>
      </c>
      <c r="R50" s="30">
        <f>Q50*R49</f>
        <v>1.0772000000000002</v>
      </c>
      <c r="S50" s="29">
        <f t="shared" si="39"/>
        <v>0.9865383364765559</v>
      </c>
      <c r="T50" s="30">
        <f>S50*T49</f>
        <v>0.9328520676500014</v>
      </c>
      <c r="V50" s="50">
        <f t="shared" si="31"/>
        <v>0.14047462096242583</v>
      </c>
      <c r="W50" s="50">
        <f t="shared" si="32"/>
        <v>0.27211601845748185</v>
      </c>
      <c r="X50" s="50">
        <f t="shared" si="33"/>
        <v>0.23236651285431772</v>
      </c>
      <c r="Y50" s="50">
        <f t="shared" si="25"/>
        <v>0.35504284772577455</v>
      </c>
      <c r="Z50" s="50">
        <f t="shared" si="34"/>
        <v>1</v>
      </c>
    </row>
    <row r="51" spans="2:26" ht="13.5" customHeight="1">
      <c r="B51" s="45" t="s">
        <v>70</v>
      </c>
      <c r="C51" s="10">
        <f>195200+24200</f>
        <v>219400</v>
      </c>
      <c r="D51" s="10">
        <v>426100</v>
      </c>
      <c r="E51" s="10">
        <v>362700</v>
      </c>
      <c r="F51" s="10">
        <f>501900+37600</f>
        <v>539500</v>
      </c>
      <c r="G51" s="11">
        <f t="shared" si="19"/>
        <v>1547700</v>
      </c>
      <c r="H51" s="17"/>
      <c r="J51" t="s">
        <v>70</v>
      </c>
      <c r="K51" s="29">
        <f t="shared" si="35"/>
        <v>1.029563585171281</v>
      </c>
      <c r="L51" s="30">
        <f>K51*L50</f>
        <v>0.5793358106028069</v>
      </c>
      <c r="M51" s="29">
        <f t="shared" si="36"/>
        <v>1.032218992248062</v>
      </c>
      <c r="N51" s="30">
        <f>M51*N50</f>
        <v>1.0659102620619783</v>
      </c>
      <c r="O51" s="29">
        <f t="shared" si="37"/>
        <v>1.028936170212766</v>
      </c>
      <c r="P51" s="30">
        <f>O51*P50</f>
        <v>0.9290526954786236</v>
      </c>
      <c r="Q51" s="29">
        <f t="shared" si="38"/>
        <v>1.0016709988860006</v>
      </c>
      <c r="R51" s="30">
        <f>Q51*R50</f>
        <v>1.079</v>
      </c>
      <c r="S51" s="29">
        <f t="shared" si="39"/>
        <v>1.020237310481213</v>
      </c>
      <c r="T51" s="30">
        <f>S51*T50</f>
        <v>0.951730484576076</v>
      </c>
      <c r="V51" s="50">
        <f t="shared" si="31"/>
        <v>0.14175873877366416</v>
      </c>
      <c r="W51" s="50">
        <f t="shared" si="32"/>
        <v>0.2753117529236932</v>
      </c>
      <c r="X51" s="50">
        <f t="shared" si="33"/>
        <v>0.2343477418104284</v>
      </c>
      <c r="Y51" s="50">
        <f t="shared" si="25"/>
        <v>0.34858176649221423</v>
      </c>
      <c r="Z51" s="50">
        <f t="shared" si="34"/>
        <v>1</v>
      </c>
    </row>
    <row r="52" spans="2:26" ht="13.5" customHeight="1">
      <c r="B52" s="45" t="s">
        <v>71</v>
      </c>
      <c r="C52" s="10">
        <f>204600+33600</f>
        <v>238200</v>
      </c>
      <c r="D52" s="10">
        <v>451500</v>
      </c>
      <c r="E52" s="10">
        <v>386500</v>
      </c>
      <c r="F52" s="10">
        <f>506800+39200</f>
        <v>546000</v>
      </c>
      <c r="G52" s="11">
        <f t="shared" si="19"/>
        <v>1622200</v>
      </c>
      <c r="H52" s="17"/>
      <c r="J52" t="s">
        <v>71</v>
      </c>
      <c r="K52" s="29">
        <f t="shared" si="35"/>
        <v>1.0856882406563355</v>
      </c>
      <c r="L52" s="30">
        <f>K52*L51</f>
        <v>0.6289780769625735</v>
      </c>
      <c r="M52" s="29">
        <f t="shared" si="36"/>
        <v>1.059610420089181</v>
      </c>
      <c r="N52" s="30">
        <f>M52*N51</f>
        <v>1.1294496205608617</v>
      </c>
      <c r="O52" s="29">
        <f t="shared" si="37"/>
        <v>1.0656189688447752</v>
      </c>
      <c r="P52" s="30">
        <f>O52*P51</f>
        <v>0.9900161753583898</v>
      </c>
      <c r="Q52" s="29">
        <f t="shared" si="38"/>
        <v>1.0120481927710843</v>
      </c>
      <c r="R52" s="30">
        <f>Q52*R51</f>
        <v>1.0919999999999999</v>
      </c>
      <c r="S52" s="29">
        <f t="shared" si="39"/>
        <v>1.0481359436583317</v>
      </c>
      <c r="T52" s="30">
        <f>S52*T51</f>
        <v>0.9975429295595467</v>
      </c>
      <c r="V52" s="50">
        <f t="shared" si="31"/>
        <v>0.14683762791271113</v>
      </c>
      <c r="W52" s="50">
        <f t="shared" si="32"/>
        <v>0.27832573048945874</v>
      </c>
      <c r="X52" s="50">
        <f t="shared" si="33"/>
        <v>0.23825668844778697</v>
      </c>
      <c r="Y52" s="50">
        <f t="shared" si="25"/>
        <v>0.33657995315004313</v>
      </c>
      <c r="Z52" s="50">
        <f t="shared" si="34"/>
        <v>1</v>
      </c>
    </row>
    <row r="53" spans="2:26" ht="13.5" customHeight="1">
      <c r="B53" s="24" t="s">
        <v>72</v>
      </c>
      <c r="C53" s="25">
        <v>-10970</v>
      </c>
      <c r="D53" s="25">
        <v>-21305</v>
      </c>
      <c r="E53" s="25">
        <v>-18135</v>
      </c>
      <c r="F53" s="25">
        <v>-26975</v>
      </c>
      <c r="G53" s="26">
        <f>SUM(C53:F53)</f>
        <v>-77385</v>
      </c>
      <c r="H53" s="27"/>
      <c r="J53" t="s">
        <v>72</v>
      </c>
      <c r="K53" s="29"/>
      <c r="L53" s="30"/>
      <c r="M53" s="29"/>
      <c r="N53" s="30"/>
      <c r="O53" s="29"/>
      <c r="P53" s="30"/>
      <c r="Q53" s="29"/>
      <c r="R53" s="30"/>
      <c r="S53" s="29"/>
      <c r="T53" s="30"/>
      <c r="Z53" s="50"/>
    </row>
    <row r="54" spans="2:26" ht="13.5" customHeight="1">
      <c r="B54" s="24" t="s">
        <v>73</v>
      </c>
      <c r="C54" s="25">
        <f>SUM(C52:C53)</f>
        <v>227230</v>
      </c>
      <c r="D54" s="25">
        <f>SUM(D52:D53)</f>
        <v>430195</v>
      </c>
      <c r="E54" s="25">
        <f>SUM(E52:E53)</f>
        <v>368365</v>
      </c>
      <c r="F54" s="25">
        <f>SUM(F52:F53)</f>
        <v>519025</v>
      </c>
      <c r="G54" s="26">
        <f>SUM(G52:G53)</f>
        <v>1544815</v>
      </c>
      <c r="H54" s="27"/>
      <c r="J54" t="s">
        <v>73</v>
      </c>
      <c r="K54" s="29"/>
      <c r="L54" s="30"/>
      <c r="M54" s="29"/>
      <c r="N54" s="30"/>
      <c r="O54" s="29"/>
      <c r="P54" s="30"/>
      <c r="Q54" s="29"/>
      <c r="R54" s="30"/>
      <c r="S54" s="29"/>
      <c r="T54" s="30"/>
      <c r="Z54" s="50"/>
    </row>
    <row r="55" spans="2:26" ht="13.5" customHeight="1">
      <c r="B55" s="45" t="s">
        <v>74</v>
      </c>
      <c r="C55" s="10">
        <f>228500+10600</f>
        <v>239100</v>
      </c>
      <c r="D55" s="10">
        <v>467200</v>
      </c>
      <c r="E55" s="10">
        <v>395600</v>
      </c>
      <c r="F55" s="10">
        <f>515500+14300</f>
        <v>529800</v>
      </c>
      <c r="G55" s="11">
        <f aca="true" t="shared" si="40" ref="G55:G67">SUM(C55:F55)</f>
        <v>1631700</v>
      </c>
      <c r="H55" s="17"/>
      <c r="J55" t="s">
        <v>74</v>
      </c>
      <c r="K55" s="29">
        <f aca="true" t="shared" si="41" ref="K55:K60">C55/C54</f>
        <v>1.0522378207102936</v>
      </c>
      <c r="L55" s="30">
        <f>K55*L52</f>
        <v>0.6618345209776496</v>
      </c>
      <c r="M55" s="29">
        <f aca="true" t="shared" si="42" ref="M55:M60">D55/D54</f>
        <v>1.0860191308592615</v>
      </c>
      <c r="N55" s="30">
        <f>M55*N52</f>
        <v>1.2266038952708298</v>
      </c>
      <c r="O55" s="29">
        <f aca="true" t="shared" si="43" ref="O55:O60">E55/E54</f>
        <v>1.0739348200833412</v>
      </c>
      <c r="P55" s="30">
        <f>O55*P52</f>
        <v>1.0632128431631098</v>
      </c>
      <c r="Q55" s="30">
        <f aca="true" t="shared" si="44" ref="Q55:Q60">F55/F54</f>
        <v>1.0207600789942681</v>
      </c>
      <c r="R55" s="30">
        <f>Q55*R52</f>
        <v>1.1146700062617407</v>
      </c>
      <c r="S55" s="29">
        <f aca="true" t="shared" si="45" ref="S55:S60">G55/G54</f>
        <v>1.0562429805510691</v>
      </c>
      <c r="T55" s="30">
        <f>S55*T52</f>
        <v>1.0536477171456209</v>
      </c>
      <c r="V55" s="50">
        <f aca="true" t="shared" si="46" ref="V55:V67">C55/G55</f>
        <v>0.14653428939143226</v>
      </c>
      <c r="W55" s="50">
        <f aca="true" t="shared" si="47" ref="W55:W67">D55/G55</f>
        <v>0.2863271434700006</v>
      </c>
      <c r="X55" s="50">
        <f aca="true" t="shared" si="48" ref="X55:X67">E55/G55</f>
        <v>0.24244652816081388</v>
      </c>
      <c r="Y55" s="50">
        <f aca="true" t="shared" si="49" ref="Y55:Y67">F55/G55</f>
        <v>0.3246920389777533</v>
      </c>
      <c r="Z55" s="50">
        <f t="shared" si="34"/>
        <v>1</v>
      </c>
    </row>
    <row r="56" spans="2:26" ht="13.5" customHeight="1">
      <c r="B56" s="45" t="s">
        <v>75</v>
      </c>
      <c r="C56" s="10">
        <f>227200+10900</f>
        <v>238100</v>
      </c>
      <c r="D56" s="10">
        <v>474200</v>
      </c>
      <c r="E56" s="10">
        <v>410600</v>
      </c>
      <c r="F56" s="10">
        <f>513400+16100</f>
        <v>529500</v>
      </c>
      <c r="G56" s="11">
        <f t="shared" si="40"/>
        <v>1652400</v>
      </c>
      <c r="H56" s="17"/>
      <c r="J56" t="s">
        <v>75</v>
      </c>
      <c r="K56" s="29">
        <f t="shared" si="41"/>
        <v>0.9958176495190297</v>
      </c>
      <c r="L56" s="30">
        <f aca="true" t="shared" si="50" ref="L56:L61">K56*L55</f>
        <v>0.659066497050516</v>
      </c>
      <c r="M56" s="29">
        <f t="shared" si="42"/>
        <v>1.0149828767123288</v>
      </c>
      <c r="N56" s="30">
        <f aca="true" t="shared" si="51" ref="N56:N61">M56*N55</f>
        <v>1.2449819502085349</v>
      </c>
      <c r="O56" s="29">
        <f t="shared" si="43"/>
        <v>1.037917087967644</v>
      </c>
      <c r="P56" s="30">
        <f aca="true" t="shared" si="52" ref="P56:P61">O56*P55</f>
        <v>1.1035267780656544</v>
      </c>
      <c r="Q56" s="30">
        <f t="shared" si="44"/>
        <v>0.9994337485843715</v>
      </c>
      <c r="R56" s="30">
        <f aca="true" t="shared" si="53" ref="R56:R61">Q56*R55</f>
        <v>1.1140388227927365</v>
      </c>
      <c r="S56" s="29">
        <f t="shared" si="45"/>
        <v>1.0126861555432984</v>
      </c>
      <c r="T56" s="30">
        <f aca="true" t="shared" si="54" ref="T56:T61">S56*T55</f>
        <v>1.0670144559731716</v>
      </c>
      <c r="V56" s="50">
        <f t="shared" si="46"/>
        <v>0.14409343984507383</v>
      </c>
      <c r="W56" s="50">
        <f t="shared" si="47"/>
        <v>0.2869765190026628</v>
      </c>
      <c r="X56" s="50">
        <f t="shared" si="48"/>
        <v>0.2484870491406439</v>
      </c>
      <c r="Y56" s="50">
        <f t="shared" si="49"/>
        <v>0.32044299201161947</v>
      </c>
      <c r="Z56" s="50">
        <f t="shared" si="34"/>
        <v>1</v>
      </c>
    </row>
    <row r="57" spans="2:26" ht="13.5" customHeight="1">
      <c r="B57" s="45" t="s">
        <v>76</v>
      </c>
      <c r="C57" s="10">
        <f>238500+10600</f>
        <v>249100</v>
      </c>
      <c r="D57" s="10">
        <v>489600</v>
      </c>
      <c r="E57" s="10">
        <v>430600</v>
      </c>
      <c r="F57" s="10">
        <f>491200+17400</f>
        <v>508600</v>
      </c>
      <c r="G57" s="11">
        <f t="shared" si="40"/>
        <v>1677900</v>
      </c>
      <c r="H57" s="17"/>
      <c r="J57" t="s">
        <v>76</v>
      </c>
      <c r="K57" s="29">
        <f t="shared" si="41"/>
        <v>1.0461990760184796</v>
      </c>
      <c r="L57" s="30">
        <f t="shared" si="50"/>
        <v>0.6895147602489858</v>
      </c>
      <c r="M57" s="29">
        <f t="shared" si="42"/>
        <v>1.0324757486292704</v>
      </c>
      <c r="N57" s="30">
        <f t="shared" si="51"/>
        <v>1.285413671071486</v>
      </c>
      <c r="O57" s="29">
        <f t="shared" si="43"/>
        <v>1.0487092060399414</v>
      </c>
      <c r="P57" s="30">
        <f t="shared" si="52"/>
        <v>1.1572786912690471</v>
      </c>
      <c r="Q57" s="30">
        <f t="shared" si="44"/>
        <v>0.9605288007554297</v>
      </c>
      <c r="R57" s="30">
        <f t="shared" si="53"/>
        <v>1.0700663744520977</v>
      </c>
      <c r="S57" s="29">
        <f t="shared" si="45"/>
        <v>1.0154320987654322</v>
      </c>
      <c r="T57" s="30">
        <f t="shared" si="54"/>
        <v>1.0834807284418935</v>
      </c>
      <c r="V57" s="50">
        <f t="shared" si="46"/>
        <v>0.1484593837535014</v>
      </c>
      <c r="W57" s="50">
        <f t="shared" si="47"/>
        <v>0.2917933130699088</v>
      </c>
      <c r="X57" s="50">
        <f t="shared" si="48"/>
        <v>0.25663031169914774</v>
      </c>
      <c r="Y57" s="50">
        <f t="shared" si="49"/>
        <v>0.30311699147744203</v>
      </c>
      <c r="Z57" s="50">
        <f t="shared" si="34"/>
        <v>1</v>
      </c>
    </row>
    <row r="58" spans="2:26" ht="13.5" customHeight="1">
      <c r="B58" s="45" t="s">
        <v>77</v>
      </c>
      <c r="C58" s="10">
        <f>222400+27600</f>
        <v>250000</v>
      </c>
      <c r="D58" s="10">
        <v>507500</v>
      </c>
      <c r="E58" s="10">
        <f>446000</f>
        <v>446000</v>
      </c>
      <c r="F58" s="10">
        <f>493700+19000</f>
        <v>512700</v>
      </c>
      <c r="G58" s="11">
        <f t="shared" si="40"/>
        <v>1716200</v>
      </c>
      <c r="H58" s="17"/>
      <c r="J58" t="s">
        <v>77</v>
      </c>
      <c r="K58" s="29">
        <f t="shared" si="41"/>
        <v>1.0036130068245686</v>
      </c>
      <c r="L58" s="30">
        <f t="shared" si="50"/>
        <v>0.6920059817834062</v>
      </c>
      <c r="M58" s="29">
        <f t="shared" si="42"/>
        <v>1.0365604575163399</v>
      </c>
      <c r="N58" s="30">
        <f t="shared" si="51"/>
        <v>1.3324089829836177</v>
      </c>
      <c r="O58" s="29">
        <f t="shared" si="43"/>
        <v>1.0357640501625638</v>
      </c>
      <c r="P58" s="30">
        <f t="shared" si="52"/>
        <v>1.1986676644356595</v>
      </c>
      <c r="Q58" s="30">
        <f t="shared" si="44"/>
        <v>1.0080613448682658</v>
      </c>
      <c r="R58" s="30">
        <f t="shared" si="53"/>
        <v>1.078692548528491</v>
      </c>
      <c r="S58" s="29">
        <f t="shared" si="45"/>
        <v>1.0228261517372907</v>
      </c>
      <c r="T58" s="30">
        <f t="shared" si="54"/>
        <v>1.1082124239537385</v>
      </c>
      <c r="U58" s="61">
        <f>T58/T44-1</f>
        <v>0.11272552074341724</v>
      </c>
      <c r="V58" s="50">
        <f t="shared" si="46"/>
        <v>0.14567066775434098</v>
      </c>
      <c r="W58" s="50">
        <f t="shared" si="47"/>
        <v>0.2957114555413122</v>
      </c>
      <c r="X58" s="50">
        <f t="shared" si="48"/>
        <v>0.2598764712737443</v>
      </c>
      <c r="Y58" s="50">
        <f t="shared" si="49"/>
        <v>0.2987414054306025</v>
      </c>
      <c r="Z58" s="50">
        <f t="shared" si="34"/>
        <v>1</v>
      </c>
    </row>
    <row r="59" spans="2:26" ht="13.5" customHeight="1">
      <c r="B59" s="45" t="s">
        <v>78</v>
      </c>
      <c r="C59" s="10">
        <f>185100+59700</f>
        <v>244800</v>
      </c>
      <c r="D59" s="10">
        <v>498400</v>
      </c>
      <c r="E59" s="10">
        <v>442000</v>
      </c>
      <c r="F59" s="10">
        <f>507500+20600</f>
        <v>528100</v>
      </c>
      <c r="G59" s="11">
        <f t="shared" si="40"/>
        <v>1713300</v>
      </c>
      <c r="H59" s="17"/>
      <c r="J59" t="s">
        <v>78</v>
      </c>
      <c r="K59" s="29">
        <f t="shared" si="41"/>
        <v>0.9792</v>
      </c>
      <c r="L59" s="30">
        <f t="shared" si="50"/>
        <v>0.6776122573623113</v>
      </c>
      <c r="M59" s="29">
        <f t="shared" si="42"/>
        <v>0.9820689655172414</v>
      </c>
      <c r="N59" s="30">
        <f t="shared" si="51"/>
        <v>1.308517511564601</v>
      </c>
      <c r="O59" s="29">
        <f t="shared" si="43"/>
        <v>0.9910313901345291</v>
      </c>
      <c r="P59" s="30">
        <f t="shared" si="52"/>
        <v>1.187917281794981</v>
      </c>
      <c r="Q59" s="30">
        <f t="shared" si="44"/>
        <v>1.0300370587087966</v>
      </c>
      <c r="R59" s="30">
        <f t="shared" si="53"/>
        <v>1.1110932999373828</v>
      </c>
      <c r="S59" s="29">
        <f t="shared" si="45"/>
        <v>0.9983102202540497</v>
      </c>
      <c r="T59" s="30">
        <f t="shared" si="54"/>
        <v>1.106339789045531</v>
      </c>
      <c r="V59" s="50">
        <f t="shared" si="46"/>
        <v>0.14288215724041323</v>
      </c>
      <c r="W59" s="50">
        <f t="shared" si="47"/>
        <v>0.2909006011790113</v>
      </c>
      <c r="X59" s="50">
        <f t="shared" si="48"/>
        <v>0.2579816727951906</v>
      </c>
      <c r="Y59" s="50">
        <f t="shared" si="49"/>
        <v>0.30823556878538494</v>
      </c>
      <c r="Z59" s="50">
        <f t="shared" si="34"/>
        <v>1</v>
      </c>
    </row>
    <row r="60" spans="2:26" ht="13.5" customHeight="1">
      <c r="B60" s="16" t="s">
        <v>79</v>
      </c>
      <c r="C60" s="10">
        <f>222000+34000</f>
        <v>256000</v>
      </c>
      <c r="D60" s="10">
        <v>528300</v>
      </c>
      <c r="E60" s="10">
        <v>462800</v>
      </c>
      <c r="F60" s="10">
        <f>501600+22000</f>
        <v>523600</v>
      </c>
      <c r="G60" s="11">
        <f t="shared" si="40"/>
        <v>1770700</v>
      </c>
      <c r="H60" s="17"/>
      <c r="J60" t="s">
        <v>79</v>
      </c>
      <c r="K60" s="29">
        <f t="shared" si="41"/>
        <v>1.0457516339869282</v>
      </c>
      <c r="L60" s="30">
        <f t="shared" si="50"/>
        <v>0.7086141253462079</v>
      </c>
      <c r="M60" s="29">
        <f t="shared" si="42"/>
        <v>1.059991974317817</v>
      </c>
      <c r="N60" s="30">
        <f t="shared" si="51"/>
        <v>1.3870180605127984</v>
      </c>
      <c r="O60" s="29">
        <f t="shared" si="43"/>
        <v>1.0470588235294118</v>
      </c>
      <c r="P60" s="30">
        <f t="shared" si="52"/>
        <v>1.2438192715265095</v>
      </c>
      <c r="Q60" s="30">
        <f t="shared" si="44"/>
        <v>0.9914788865745124</v>
      </c>
      <c r="R60" s="30">
        <f t="shared" si="53"/>
        <v>1.1016255479023171</v>
      </c>
      <c r="S60" s="29">
        <f t="shared" si="45"/>
        <v>1.0335025973267962</v>
      </c>
      <c r="T60" s="30">
        <f t="shared" si="54"/>
        <v>1.1434050455045361</v>
      </c>
      <c r="V60" s="50">
        <f t="shared" si="46"/>
        <v>0.1445755915739538</v>
      </c>
      <c r="W60" s="50">
        <f t="shared" si="47"/>
        <v>0.2983565821426554</v>
      </c>
      <c r="X60" s="50">
        <f t="shared" si="48"/>
        <v>0.26136556164228836</v>
      </c>
      <c r="Y60" s="50">
        <f t="shared" si="49"/>
        <v>0.2957022646411024</v>
      </c>
      <c r="Z60" s="50">
        <f t="shared" si="34"/>
        <v>0.9999999999999999</v>
      </c>
    </row>
    <row r="61" spans="2:26" ht="13.5" customHeight="1">
      <c r="B61" s="16" t="s">
        <v>80</v>
      </c>
      <c r="C61" s="10">
        <f>231982+29678+40</f>
        <v>261700</v>
      </c>
      <c r="D61" s="10">
        <v>556700</v>
      </c>
      <c r="E61" s="10">
        <v>476400</v>
      </c>
      <c r="F61" s="10">
        <f>501360+23520+20</f>
        <v>524900</v>
      </c>
      <c r="G61" s="11">
        <f t="shared" si="40"/>
        <v>1819700</v>
      </c>
      <c r="H61" s="17"/>
      <c r="J61" t="s">
        <v>80</v>
      </c>
      <c r="K61" s="29">
        <f aca="true" t="shared" si="55" ref="K61:K66">C61/C60</f>
        <v>1.022265625</v>
      </c>
      <c r="L61" s="30">
        <f t="shared" si="50"/>
        <v>0.7243918617308696</v>
      </c>
      <c r="M61" s="29">
        <f aca="true" t="shared" si="56" ref="M61:M66">D61/D60</f>
        <v>1.0537573348476243</v>
      </c>
      <c r="N61" s="30">
        <f t="shared" si="51"/>
        <v>1.4615804548314875</v>
      </c>
      <c r="O61" s="29">
        <f aca="true" t="shared" si="57" ref="O61:O66">E61/E60</f>
        <v>1.0293863439930855</v>
      </c>
      <c r="P61" s="30">
        <f t="shared" si="52"/>
        <v>1.2803705725048165</v>
      </c>
      <c r="Q61" s="30">
        <f aca="true" t="shared" si="58" ref="Q61:Q66">F61/F60</f>
        <v>1.0024828113063406</v>
      </c>
      <c r="R61" s="30">
        <f t="shared" si="53"/>
        <v>1.1043606762680027</v>
      </c>
      <c r="S61" s="29">
        <f aca="true" t="shared" si="59" ref="S61:S66">G61/G60</f>
        <v>1.027672671824702</v>
      </c>
      <c r="T61" s="30">
        <f t="shared" si="54"/>
        <v>1.1750461180914917</v>
      </c>
      <c r="V61" s="50">
        <f t="shared" si="46"/>
        <v>0.14381491454635378</v>
      </c>
      <c r="W61" s="50">
        <f t="shared" si="47"/>
        <v>0.3059295488267297</v>
      </c>
      <c r="X61" s="50">
        <f t="shared" si="48"/>
        <v>0.2618013958344782</v>
      </c>
      <c r="Y61" s="50">
        <f t="shared" si="49"/>
        <v>0.2884541407924383</v>
      </c>
      <c r="Z61" s="50">
        <f t="shared" si="34"/>
        <v>1</v>
      </c>
    </row>
    <row r="62" spans="2:26" ht="13.5" customHeight="1">
      <c r="B62" s="16" t="s">
        <v>81</v>
      </c>
      <c r="C62" s="10">
        <f>263400+3400</f>
        <v>266800</v>
      </c>
      <c r="D62" s="10">
        <v>586200</v>
      </c>
      <c r="E62" s="10">
        <v>490000</v>
      </c>
      <c r="F62" s="10">
        <f>503800+25500</f>
        <v>529300</v>
      </c>
      <c r="G62" s="11">
        <f t="shared" si="40"/>
        <v>1872300</v>
      </c>
      <c r="H62" s="17"/>
      <c r="J62" t="s">
        <v>81</v>
      </c>
      <c r="K62" s="29">
        <f t="shared" si="55"/>
        <v>1.0194879633167748</v>
      </c>
      <c r="L62" s="30">
        <f aca="true" t="shared" si="60" ref="L62:L67">K62*L61</f>
        <v>0.738508783759251</v>
      </c>
      <c r="M62" s="29">
        <f t="shared" si="56"/>
        <v>1.0529908388719238</v>
      </c>
      <c r="N62" s="30">
        <f aca="true" t="shared" si="61" ref="N62:N67">M62*N61</f>
        <v>1.539030829211816</v>
      </c>
      <c r="O62" s="29">
        <f t="shared" si="57"/>
        <v>1.0285474391267841</v>
      </c>
      <c r="P62" s="30">
        <f aca="true" t="shared" si="62" ref="P62:P67">O62*P61</f>
        <v>1.3169218734831234</v>
      </c>
      <c r="Q62" s="30">
        <f t="shared" si="58"/>
        <v>1.0083825490569633</v>
      </c>
      <c r="R62" s="30">
        <f aca="true" t="shared" si="63" ref="R62:R67">Q62*R61</f>
        <v>1.1136180338134005</v>
      </c>
      <c r="S62" s="29">
        <f t="shared" si="59"/>
        <v>1.0289058636038908</v>
      </c>
      <c r="T62" s="30">
        <f aca="true" t="shared" si="64" ref="T62:T67">S62*T61</f>
        <v>1.2090118409093258</v>
      </c>
      <c r="V62" s="50">
        <f t="shared" si="46"/>
        <v>0.14249853121828768</v>
      </c>
      <c r="W62" s="50">
        <f t="shared" si="47"/>
        <v>0.3130908508251883</v>
      </c>
      <c r="X62" s="50">
        <f t="shared" si="48"/>
        <v>0.2617101960155958</v>
      </c>
      <c r="Y62" s="50">
        <f t="shared" si="49"/>
        <v>0.28270042194092826</v>
      </c>
      <c r="Z62" s="50">
        <f t="shared" si="34"/>
        <v>1</v>
      </c>
    </row>
    <row r="63" spans="2:26" ht="13.5" customHeight="1">
      <c r="B63" s="16" t="s">
        <v>225</v>
      </c>
      <c r="C63" s="10">
        <f>271400+3100</f>
        <v>274500</v>
      </c>
      <c r="D63" s="10">
        <v>596700</v>
      </c>
      <c r="E63" s="10">
        <v>499600</v>
      </c>
      <c r="F63" s="10">
        <f>507700+26300</f>
        <v>534000</v>
      </c>
      <c r="G63" s="11">
        <f t="shared" si="40"/>
        <v>1904800</v>
      </c>
      <c r="H63" s="17"/>
      <c r="J63" t="s">
        <v>82</v>
      </c>
      <c r="K63" s="29">
        <f t="shared" si="55"/>
        <v>1.0288605697151425</v>
      </c>
      <c r="L63" s="30">
        <f t="shared" si="60"/>
        <v>0.7598225679981799</v>
      </c>
      <c r="M63" s="29">
        <f t="shared" si="56"/>
        <v>1.0179119754350052</v>
      </c>
      <c r="N63" s="30">
        <f t="shared" si="61"/>
        <v>1.5665979116183737</v>
      </c>
      <c r="O63" s="29">
        <f t="shared" si="57"/>
        <v>1.019591836734694</v>
      </c>
      <c r="P63" s="30">
        <f t="shared" si="62"/>
        <v>1.342722791820752</v>
      </c>
      <c r="Q63" s="30">
        <f t="shared" si="58"/>
        <v>1.0088796523710561</v>
      </c>
      <c r="R63" s="30">
        <f t="shared" si="63"/>
        <v>1.1235065748278026</v>
      </c>
      <c r="S63" s="29">
        <f t="shared" si="59"/>
        <v>1.017358329327565</v>
      </c>
      <c r="T63" s="30">
        <f t="shared" si="64"/>
        <v>1.2299982666047555</v>
      </c>
      <c r="V63" s="50">
        <f t="shared" si="46"/>
        <v>0.14410961780764384</v>
      </c>
      <c r="W63" s="50">
        <f t="shared" si="47"/>
        <v>0.3132612347753045</v>
      </c>
      <c r="X63" s="50">
        <f t="shared" si="48"/>
        <v>0.2622847543049139</v>
      </c>
      <c r="Y63" s="50">
        <f t="shared" si="49"/>
        <v>0.28034439311213777</v>
      </c>
      <c r="Z63" s="50">
        <f t="shared" si="34"/>
        <v>0.9999999999999999</v>
      </c>
    </row>
    <row r="64" spans="2:26" ht="13.5" customHeight="1">
      <c r="B64" s="16" t="s">
        <v>83</v>
      </c>
      <c r="C64" s="10">
        <f>244300+30800</f>
        <v>275100</v>
      </c>
      <c r="D64" s="10">
        <v>594800</v>
      </c>
      <c r="E64" s="10">
        <v>507100</v>
      </c>
      <c r="F64" s="10">
        <f>512200+27300</f>
        <v>539500</v>
      </c>
      <c r="G64" s="11">
        <f t="shared" si="40"/>
        <v>1916500</v>
      </c>
      <c r="H64" s="17"/>
      <c r="J64" t="s">
        <v>83</v>
      </c>
      <c r="K64" s="29">
        <f t="shared" si="55"/>
        <v>1.0021857923497268</v>
      </c>
      <c r="L64" s="30">
        <f t="shared" si="60"/>
        <v>0.7614833823544601</v>
      </c>
      <c r="M64" s="29">
        <f t="shared" si="56"/>
        <v>0.9968158203452321</v>
      </c>
      <c r="N64" s="30">
        <f t="shared" si="61"/>
        <v>1.5616095824209966</v>
      </c>
      <c r="O64" s="29">
        <f t="shared" si="57"/>
        <v>1.0150120096076862</v>
      </c>
      <c r="P64" s="30">
        <f t="shared" si="62"/>
        <v>1.3628797592720245</v>
      </c>
      <c r="Q64" s="30">
        <f t="shared" si="58"/>
        <v>1.0102996254681649</v>
      </c>
      <c r="R64" s="30">
        <f t="shared" si="63"/>
        <v>1.1350782717595498</v>
      </c>
      <c r="S64" s="29">
        <f t="shared" si="59"/>
        <v>1.006142377152457</v>
      </c>
      <c r="T64" s="30">
        <f t="shared" si="64"/>
        <v>1.2375533798551102</v>
      </c>
      <c r="V64" s="50">
        <f t="shared" si="46"/>
        <v>0.14354291677537176</v>
      </c>
      <c r="W64" s="50">
        <f t="shared" si="47"/>
        <v>0.31035742238455516</v>
      </c>
      <c r="X64" s="50">
        <f t="shared" si="48"/>
        <v>0.2645969214714323</v>
      </c>
      <c r="Y64" s="50">
        <f t="shared" si="49"/>
        <v>0.28150273936864073</v>
      </c>
      <c r="Z64" s="50">
        <f t="shared" si="34"/>
        <v>1</v>
      </c>
    </row>
    <row r="65" spans="2:26" ht="13.5" customHeight="1">
      <c r="B65" s="16" t="s">
        <v>84</v>
      </c>
      <c r="C65" s="10">
        <f>268300+11800</f>
        <v>280100</v>
      </c>
      <c r="D65" s="10">
        <f>608400+100</f>
        <v>608500</v>
      </c>
      <c r="E65" s="10">
        <v>497600</v>
      </c>
      <c r="F65" s="10">
        <f>514200+28400</f>
        <v>542600</v>
      </c>
      <c r="G65" s="11">
        <f t="shared" si="40"/>
        <v>1928800</v>
      </c>
      <c r="H65" s="17"/>
      <c r="J65" t="s">
        <v>84</v>
      </c>
      <c r="K65" s="29">
        <f t="shared" si="55"/>
        <v>1.0181752090149037</v>
      </c>
      <c r="L65" s="30">
        <f t="shared" si="60"/>
        <v>0.7753235019901282</v>
      </c>
      <c r="M65" s="29">
        <f t="shared" si="56"/>
        <v>1.023032952252858</v>
      </c>
      <c r="N65" s="30">
        <f t="shared" si="61"/>
        <v>1.597578061370505</v>
      </c>
      <c r="O65" s="29">
        <f t="shared" si="57"/>
        <v>0.981266022480773</v>
      </c>
      <c r="P65" s="30">
        <f t="shared" si="62"/>
        <v>1.337347600500413</v>
      </c>
      <c r="Q65" s="30">
        <f t="shared" si="58"/>
        <v>1.005746061167748</v>
      </c>
      <c r="R65" s="30">
        <f t="shared" si="63"/>
        <v>1.1416005009392618</v>
      </c>
      <c r="S65" s="29">
        <f t="shared" si="59"/>
        <v>1.0064179493869032</v>
      </c>
      <c r="T65" s="30">
        <f t="shared" si="64"/>
        <v>1.2454959348106112</v>
      </c>
      <c r="V65" s="50">
        <f t="shared" si="46"/>
        <v>0.14521982579842388</v>
      </c>
      <c r="W65" s="50">
        <f t="shared" si="47"/>
        <v>0.31548112816258816</v>
      </c>
      <c r="X65" s="50">
        <f t="shared" si="48"/>
        <v>0.25798423890501865</v>
      </c>
      <c r="Y65" s="50">
        <f t="shared" si="49"/>
        <v>0.2813148071339693</v>
      </c>
      <c r="Z65" s="50">
        <f t="shared" si="34"/>
        <v>1</v>
      </c>
    </row>
    <row r="66" spans="2:26" ht="13.5" customHeight="1">
      <c r="B66" s="16" t="s">
        <v>85</v>
      </c>
      <c r="C66" s="10">
        <f>223700+24400+6300+15600</f>
        <v>270000</v>
      </c>
      <c r="D66" s="10">
        <v>591000</v>
      </c>
      <c r="E66" s="10">
        <v>485100</v>
      </c>
      <c r="F66" s="10">
        <f>183700+238100+78300+29100-100</f>
        <v>529100</v>
      </c>
      <c r="G66" s="11">
        <f t="shared" si="40"/>
        <v>1875200</v>
      </c>
      <c r="H66" s="17"/>
      <c r="J66" t="s">
        <v>85</v>
      </c>
      <c r="K66" s="29">
        <f t="shared" si="55"/>
        <v>0.9639414494823277</v>
      </c>
      <c r="L66" s="30">
        <f t="shared" si="60"/>
        <v>0.7473664603260787</v>
      </c>
      <c r="M66" s="29">
        <f t="shared" si="56"/>
        <v>0.971240755957272</v>
      </c>
      <c r="N66" s="30">
        <f t="shared" si="61"/>
        <v>1.5516329240262423</v>
      </c>
      <c r="O66" s="29">
        <f t="shared" si="57"/>
        <v>0.974879421221865</v>
      </c>
      <c r="P66" s="30">
        <f t="shared" si="62"/>
        <v>1.3037526547482925</v>
      </c>
      <c r="Q66" s="30">
        <f t="shared" si="58"/>
        <v>0.9751197935864356</v>
      </c>
      <c r="R66" s="30">
        <f t="shared" si="63"/>
        <v>1.1131972448340646</v>
      </c>
      <c r="S66" s="29">
        <f t="shared" si="59"/>
        <v>0.972210700953961</v>
      </c>
      <c r="T66" s="30">
        <f t="shared" si="64"/>
        <v>1.2108844758175332</v>
      </c>
      <c r="V66" s="50">
        <f t="shared" si="46"/>
        <v>0.14398464163822525</v>
      </c>
      <c r="W66" s="50">
        <f t="shared" si="47"/>
        <v>0.3151663822525597</v>
      </c>
      <c r="X66" s="50">
        <f t="shared" si="48"/>
        <v>0.2586924061433447</v>
      </c>
      <c r="Y66" s="50">
        <f t="shared" si="49"/>
        <v>0.2821565699658703</v>
      </c>
      <c r="Z66" s="50">
        <f t="shared" si="34"/>
        <v>1</v>
      </c>
    </row>
    <row r="67" spans="2:26" ht="13.5" customHeight="1">
      <c r="B67" s="16" t="s">
        <v>86</v>
      </c>
      <c r="C67" s="10">
        <f>258800+12700</f>
        <v>271500</v>
      </c>
      <c r="D67" s="10">
        <v>603100</v>
      </c>
      <c r="E67" s="10">
        <v>477400</v>
      </c>
      <c r="F67" s="10">
        <f>497500+30200</f>
        <v>527700</v>
      </c>
      <c r="G67" s="11">
        <f t="shared" si="40"/>
        <v>1879700</v>
      </c>
      <c r="H67" s="17"/>
      <c r="J67" t="s">
        <v>86</v>
      </c>
      <c r="K67" s="29">
        <f>C67/C66</f>
        <v>1.0055555555555555</v>
      </c>
      <c r="L67" s="30">
        <f t="shared" si="60"/>
        <v>0.7515184962167791</v>
      </c>
      <c r="M67" s="29">
        <f>D67/D66</f>
        <v>1.0204737732656515</v>
      </c>
      <c r="N67" s="30">
        <f t="shared" si="61"/>
        <v>1.5834007047042755</v>
      </c>
      <c r="O67" s="29">
        <f>E67/E66</f>
        <v>0.9841269841269841</v>
      </c>
      <c r="P67" s="30">
        <f t="shared" si="62"/>
        <v>1.2830581681649862</v>
      </c>
      <c r="Q67" s="30">
        <f>F67/F66</f>
        <v>0.9973539973539973</v>
      </c>
      <c r="R67" s="30">
        <f t="shared" si="63"/>
        <v>1.1102517219787107</v>
      </c>
      <c r="S67" s="29">
        <f>G67/G66</f>
        <v>1.0023997440273038</v>
      </c>
      <c r="T67" s="30">
        <f t="shared" si="64"/>
        <v>1.2137902886061311</v>
      </c>
      <c r="V67" s="50">
        <f t="shared" si="46"/>
        <v>0.14443794222482312</v>
      </c>
      <c r="W67" s="50">
        <f t="shared" si="47"/>
        <v>0.32084907166037135</v>
      </c>
      <c r="X67" s="50">
        <f t="shared" si="48"/>
        <v>0.25397669840932063</v>
      </c>
      <c r="Y67" s="50">
        <f t="shared" si="49"/>
        <v>0.2807362877054849</v>
      </c>
      <c r="Z67" s="50">
        <f t="shared" si="34"/>
        <v>1</v>
      </c>
    </row>
    <row r="68" spans="2:26" ht="13.5" customHeight="1">
      <c r="B68" s="24" t="s">
        <v>90</v>
      </c>
      <c r="C68" s="25">
        <v>-14005</v>
      </c>
      <c r="D68" s="25">
        <v>-30425</v>
      </c>
      <c r="E68" s="25">
        <v>-24880</v>
      </c>
      <c r="F68" s="25">
        <v>-27130</v>
      </c>
      <c r="G68" s="26">
        <f>SUM(C68:F68)</f>
        <v>-96440</v>
      </c>
      <c r="H68" s="27"/>
      <c r="J68" t="s">
        <v>90</v>
      </c>
      <c r="K68" s="29"/>
      <c r="L68" s="30"/>
      <c r="M68" s="29"/>
      <c r="N68" s="30"/>
      <c r="O68" s="29"/>
      <c r="P68" s="30"/>
      <c r="Q68" s="30"/>
      <c r="R68" s="30"/>
      <c r="S68" s="29"/>
      <c r="T68" s="30"/>
      <c r="Z68" s="50"/>
    </row>
    <row r="69" spans="2:26" ht="13.5" customHeight="1">
      <c r="B69" s="24" t="s">
        <v>91</v>
      </c>
      <c r="C69" s="25">
        <f>SUM(C67:C68)</f>
        <v>257495</v>
      </c>
      <c r="D69" s="25">
        <f>SUM(D67:D68)</f>
        <v>572675</v>
      </c>
      <c r="E69" s="25">
        <f>SUM(E67:E68)</f>
        <v>452520</v>
      </c>
      <c r="F69" s="25">
        <f>SUM(F67:F68)</f>
        <v>500570</v>
      </c>
      <c r="G69" s="26">
        <f>SUM(G67:G68)</f>
        <v>1783260</v>
      </c>
      <c r="H69" s="27"/>
      <c r="J69" t="s">
        <v>91</v>
      </c>
      <c r="K69" s="29"/>
      <c r="L69" s="30"/>
      <c r="M69" s="29"/>
      <c r="N69" s="30"/>
      <c r="O69" s="29"/>
      <c r="P69" s="30"/>
      <c r="Q69" s="30"/>
      <c r="R69" s="30"/>
      <c r="S69" s="29"/>
      <c r="T69" s="30"/>
      <c r="Z69" s="50"/>
    </row>
    <row r="70" spans="2:26" ht="13.5" customHeight="1">
      <c r="B70" s="16" t="s">
        <v>87</v>
      </c>
      <c r="C70" s="10">
        <f>259800-1300</f>
        <v>258500</v>
      </c>
      <c r="D70" s="10">
        <v>599525</v>
      </c>
      <c r="E70" s="10">
        <v>463700</v>
      </c>
      <c r="F70" s="10">
        <f>497800+4100</f>
        <v>501900</v>
      </c>
      <c r="G70" s="11">
        <f aca="true" t="shared" si="65" ref="G70:G76">SUM(C70:F70)</f>
        <v>1823625</v>
      </c>
      <c r="H70" s="17"/>
      <c r="J70" t="s">
        <v>87</v>
      </c>
      <c r="K70" s="29">
        <f aca="true" t="shared" si="66" ref="K70:K75">C70/C69</f>
        <v>1.0039029884075419</v>
      </c>
      <c r="L70" s="30">
        <f>K70*L67</f>
        <v>0.7544516641955665</v>
      </c>
      <c r="M70" s="29">
        <f aca="true" t="shared" si="67" ref="M70:M75">D70/D69</f>
        <v>1.0468852315885975</v>
      </c>
      <c r="N70" s="30">
        <f>M70*N67</f>
        <v>1.657638813441884</v>
      </c>
      <c r="O70" s="29">
        <f aca="true" t="shared" si="68" ref="O70:O75">E70/E69</f>
        <v>1.0247060903385485</v>
      </c>
      <c r="P70" s="30">
        <f>O70*P67</f>
        <v>1.314757519177283</v>
      </c>
      <c r="Q70" s="30">
        <f aca="true" t="shared" si="69" ref="Q70:Q75">F70/F69</f>
        <v>1.0026569710529996</v>
      </c>
      <c r="R70" s="30">
        <f>Q70*R67</f>
        <v>1.113201628665551</v>
      </c>
      <c r="S70" s="29">
        <f aca="true" t="shared" si="70" ref="S70:S75">G70/G69</f>
        <v>1.022635510245281</v>
      </c>
      <c r="T70" s="30">
        <f>S70*T67</f>
        <v>1.241265051119498</v>
      </c>
      <c r="V70" s="50">
        <f aca="true" t="shared" si="71" ref="V70:V75">C70/G70</f>
        <v>0.1417506340393447</v>
      </c>
      <c r="W70" s="50">
        <f aca="true" t="shared" si="72" ref="W70:W75">D70/G70</f>
        <v>0.328754541092604</v>
      </c>
      <c r="X70" s="50">
        <f aca="true" t="shared" si="73" ref="X70:X75">E70/G70</f>
        <v>0.2542737679073274</v>
      </c>
      <c r="Y70" s="50">
        <f aca="true" t="shared" si="74" ref="Y70:Y75">F70/G70</f>
        <v>0.27522105696072385</v>
      </c>
      <c r="Z70" s="50">
        <f t="shared" si="34"/>
        <v>1</v>
      </c>
    </row>
    <row r="71" spans="2:26" ht="13.5" customHeight="1">
      <c r="B71" s="16" t="s">
        <v>88</v>
      </c>
      <c r="C71" s="10">
        <f>206100+35400</f>
        <v>241500</v>
      </c>
      <c r="D71" s="10">
        <v>564800</v>
      </c>
      <c r="E71" s="10">
        <v>438600</v>
      </c>
      <c r="F71" s="10">
        <f>502800+4800</f>
        <v>507600</v>
      </c>
      <c r="G71" s="11">
        <f t="shared" si="65"/>
        <v>1752500</v>
      </c>
      <c r="H71" s="17"/>
      <c r="J71" t="s">
        <v>88</v>
      </c>
      <c r="K71" s="29">
        <f t="shared" si="66"/>
        <v>0.9342359767891683</v>
      </c>
      <c r="L71" s="30">
        <f aca="true" t="shared" si="75" ref="L71:L76">K71*L70</f>
        <v>0.7048358874399586</v>
      </c>
      <c r="M71" s="29">
        <f t="shared" si="67"/>
        <v>0.9420791459905759</v>
      </c>
      <c r="N71" s="30">
        <f aca="true" t="shared" si="76" ref="N71:N76">M71*N70</f>
        <v>1.5616269577281616</v>
      </c>
      <c r="O71" s="29">
        <f t="shared" si="68"/>
        <v>0.9458701746819064</v>
      </c>
      <c r="P71" s="30">
        <f aca="true" t="shared" si="77" ref="P71:P76">O71*P70</f>
        <v>1.2435899243285664</v>
      </c>
      <c r="Q71" s="30">
        <f t="shared" si="69"/>
        <v>1.0113568439928273</v>
      </c>
      <c r="R71" s="30">
        <f aca="true" t="shared" si="78" ref="R71:R76">Q71*R70</f>
        <v>1.125844085894867</v>
      </c>
      <c r="S71" s="29">
        <f t="shared" si="70"/>
        <v>0.9609980122009734</v>
      </c>
      <c r="T71" s="30">
        <f aca="true" t="shared" si="79" ref="T71:T76">S71*T70</f>
        <v>1.1928532467403772</v>
      </c>
      <c r="V71" s="50">
        <f t="shared" si="71"/>
        <v>0.13780313837375177</v>
      </c>
      <c r="W71" s="50">
        <f t="shared" si="72"/>
        <v>0.3222824536376605</v>
      </c>
      <c r="X71" s="50">
        <f t="shared" si="73"/>
        <v>0.2502710413694722</v>
      </c>
      <c r="Y71" s="50">
        <f t="shared" si="74"/>
        <v>0.28964336661911555</v>
      </c>
      <c r="Z71" s="50">
        <f t="shared" si="34"/>
        <v>1</v>
      </c>
    </row>
    <row r="72" spans="2:26" ht="13.5" customHeight="1">
      <c r="B72" s="16" t="s">
        <v>89</v>
      </c>
      <c r="C72" s="10">
        <f>206400+35400</f>
        <v>241800</v>
      </c>
      <c r="D72" s="10">
        <v>553700</v>
      </c>
      <c r="E72" s="10">
        <v>438400</v>
      </c>
      <c r="F72" s="10">
        <f>512300+5900</f>
        <v>518200</v>
      </c>
      <c r="G72" s="11">
        <f t="shared" si="65"/>
        <v>1752100</v>
      </c>
      <c r="H72" s="17"/>
      <c r="J72" t="s">
        <v>89</v>
      </c>
      <c r="K72" s="29">
        <f t="shared" si="66"/>
        <v>1.0012422360248447</v>
      </c>
      <c r="L72" s="30">
        <f t="shared" si="75"/>
        <v>0.70571145997094</v>
      </c>
      <c r="M72" s="29">
        <f t="shared" si="67"/>
        <v>0.9803470254957507</v>
      </c>
      <c r="N72" s="30">
        <f t="shared" si="76"/>
        <v>1.5309363429427816</v>
      </c>
      <c r="O72" s="29">
        <f t="shared" si="68"/>
        <v>0.9995440036479708</v>
      </c>
      <c r="P72" s="30">
        <f t="shared" si="77"/>
        <v>1.2430228518596522</v>
      </c>
      <c r="Q72" s="30">
        <f t="shared" si="69"/>
        <v>1.020882584712372</v>
      </c>
      <c r="R72" s="30">
        <f t="shared" si="78"/>
        <v>1.1493546203914895</v>
      </c>
      <c r="S72" s="29">
        <f t="shared" si="70"/>
        <v>0.9997717546362339</v>
      </c>
      <c r="T72" s="30">
        <f t="shared" si="79"/>
        <v>1.1925809835171555</v>
      </c>
      <c r="U72" s="61">
        <f>T72/T58-1</f>
        <v>0.07613031377361534</v>
      </c>
      <c r="V72" s="50">
        <f t="shared" si="71"/>
        <v>0.13800582158552593</v>
      </c>
      <c r="W72" s="50">
        <f t="shared" si="72"/>
        <v>0.3160207750699161</v>
      </c>
      <c r="X72" s="50">
        <f t="shared" si="73"/>
        <v>0.2502140288796302</v>
      </c>
      <c r="Y72" s="50">
        <f t="shared" si="74"/>
        <v>0.2957593744649278</v>
      </c>
      <c r="Z72" s="50">
        <f t="shared" si="34"/>
        <v>1</v>
      </c>
    </row>
    <row r="73" spans="2:26" ht="13.5" customHeight="1">
      <c r="B73" s="16" t="s">
        <v>92</v>
      </c>
      <c r="C73" s="10">
        <f>206500+42200</f>
        <v>248700</v>
      </c>
      <c r="D73" s="10">
        <v>568000</v>
      </c>
      <c r="E73" s="10">
        <v>443200</v>
      </c>
      <c r="F73" s="10">
        <f>512200+7000</f>
        <v>519200</v>
      </c>
      <c r="G73" s="11">
        <f t="shared" si="65"/>
        <v>1779100</v>
      </c>
      <c r="H73" s="17"/>
      <c r="J73" t="s">
        <v>92</v>
      </c>
      <c r="K73" s="29">
        <f t="shared" si="66"/>
        <v>1.0285359801488834</v>
      </c>
      <c r="L73" s="30">
        <f t="shared" si="75"/>
        <v>0.7258496281835102</v>
      </c>
      <c r="M73" s="29">
        <f t="shared" si="67"/>
        <v>1.0258262597074228</v>
      </c>
      <c r="N73" s="30">
        <f t="shared" si="76"/>
        <v>1.570474702531154</v>
      </c>
      <c r="O73" s="29">
        <f t="shared" si="68"/>
        <v>1.010948905109489</v>
      </c>
      <c r="P73" s="30">
        <f t="shared" si="77"/>
        <v>1.25663259111359</v>
      </c>
      <c r="Q73" s="30">
        <f t="shared" si="69"/>
        <v>1.001929756850637</v>
      </c>
      <c r="R73" s="30">
        <f t="shared" si="78"/>
        <v>1.1515725953440012</v>
      </c>
      <c r="S73" s="29">
        <f t="shared" si="70"/>
        <v>1.0154100793333714</v>
      </c>
      <c r="T73" s="30">
        <f t="shared" si="79"/>
        <v>1.210958751084625</v>
      </c>
      <c r="V73" s="50">
        <f t="shared" si="71"/>
        <v>0.13978978135012085</v>
      </c>
      <c r="W73" s="50">
        <f t="shared" si="72"/>
        <v>0.3192625484795683</v>
      </c>
      <c r="X73" s="50">
        <f t="shared" si="73"/>
        <v>0.24911472092631107</v>
      </c>
      <c r="Y73" s="50">
        <f t="shared" si="74"/>
        <v>0.2918329492439998</v>
      </c>
      <c r="Z73" s="50">
        <f t="shared" si="34"/>
        <v>1</v>
      </c>
    </row>
    <row r="74" spans="2:26" ht="13.5" customHeight="1">
      <c r="B74" s="16" t="s">
        <v>93</v>
      </c>
      <c r="C74" s="10">
        <f>239000+16000</f>
        <v>255000</v>
      </c>
      <c r="D74" s="10">
        <v>568700</v>
      </c>
      <c r="E74" s="10">
        <v>443800</v>
      </c>
      <c r="F74" s="10">
        <f>515600+7700</f>
        <v>523300</v>
      </c>
      <c r="G74" s="11">
        <f t="shared" si="65"/>
        <v>1790800</v>
      </c>
      <c r="H74" s="17"/>
      <c r="J74" t="s">
        <v>93</v>
      </c>
      <c r="K74" s="29">
        <f t="shared" si="66"/>
        <v>1.0253317249698433</v>
      </c>
      <c r="L74" s="30">
        <f t="shared" si="75"/>
        <v>0.7442366513341179</v>
      </c>
      <c r="M74" s="29">
        <f t="shared" si="67"/>
        <v>1.0012323943661972</v>
      </c>
      <c r="N74" s="30">
        <f t="shared" si="76"/>
        <v>1.5724101467068086</v>
      </c>
      <c r="O74" s="29">
        <f t="shared" si="68"/>
        <v>1.0013537906137184</v>
      </c>
      <c r="P74" s="30">
        <f t="shared" si="77"/>
        <v>1.2583338085203324</v>
      </c>
      <c r="Q74" s="30">
        <f t="shared" si="69"/>
        <v>1.0078967642526964</v>
      </c>
      <c r="R74" s="30">
        <f t="shared" si="78"/>
        <v>1.1606662926492985</v>
      </c>
      <c r="S74" s="29">
        <f t="shared" si="70"/>
        <v>1.0065763588331178</v>
      </c>
      <c r="T74" s="30">
        <f t="shared" si="79"/>
        <v>1.2189224503638616</v>
      </c>
      <c r="V74" s="50">
        <f t="shared" si="71"/>
        <v>0.14239446057627875</v>
      </c>
      <c r="W74" s="50">
        <f t="shared" si="72"/>
        <v>0.31756756756756754</v>
      </c>
      <c r="X74" s="50">
        <f t="shared" si="73"/>
        <v>0.24782220236765692</v>
      </c>
      <c r="Y74" s="50">
        <f t="shared" si="74"/>
        <v>0.29221576948849676</v>
      </c>
      <c r="Z74" s="50">
        <f t="shared" si="34"/>
        <v>1</v>
      </c>
    </row>
    <row r="75" spans="2:26" ht="13.5" customHeight="1">
      <c r="B75" s="16" t="s">
        <v>94</v>
      </c>
      <c r="C75" s="10">
        <f>261900+6500</f>
        <v>268400</v>
      </c>
      <c r="D75" s="10">
        <f>606100+270*39.22</f>
        <v>616689.4</v>
      </c>
      <c r="E75" s="10">
        <v>466700</v>
      </c>
      <c r="F75" s="10">
        <f>510400+8800</f>
        <v>519200</v>
      </c>
      <c r="G75" s="11">
        <f t="shared" si="65"/>
        <v>1870989.4</v>
      </c>
      <c r="H75" s="17"/>
      <c r="J75" t="s">
        <v>94</v>
      </c>
      <c r="K75" s="29">
        <f t="shared" si="66"/>
        <v>1.052549019607843</v>
      </c>
      <c r="L75" s="30">
        <f t="shared" si="75"/>
        <v>0.7833455577179499</v>
      </c>
      <c r="M75" s="29">
        <f t="shared" si="67"/>
        <v>1.0843843854404782</v>
      </c>
      <c r="N75" s="30">
        <f t="shared" si="76"/>
        <v>1.705097010597035</v>
      </c>
      <c r="O75" s="29">
        <f t="shared" si="68"/>
        <v>1.051599819738621</v>
      </c>
      <c r="P75" s="30">
        <f t="shared" si="77"/>
        <v>1.323263606210994</v>
      </c>
      <c r="Q75" s="30">
        <f t="shared" si="69"/>
        <v>0.9921651060577107</v>
      </c>
      <c r="R75" s="30">
        <f t="shared" si="78"/>
        <v>1.1515725953440012</v>
      </c>
      <c r="S75" s="29">
        <f t="shared" si="70"/>
        <v>1.0447785347330802</v>
      </c>
      <c r="T75" s="30">
        <f t="shared" si="79"/>
        <v>1.273504011644411</v>
      </c>
      <c r="V75" s="50">
        <f t="shared" si="71"/>
        <v>0.14345351181572702</v>
      </c>
      <c r="W75" s="50">
        <f t="shared" si="72"/>
        <v>0.32960603625012524</v>
      </c>
      <c r="X75" s="50">
        <f t="shared" si="73"/>
        <v>0.24944021596274144</v>
      </c>
      <c r="Y75" s="50">
        <f t="shared" si="74"/>
        <v>0.2775002359714064</v>
      </c>
      <c r="Z75" s="50">
        <f t="shared" si="34"/>
        <v>1</v>
      </c>
    </row>
    <row r="76" spans="2:26" ht="13.5" customHeight="1">
      <c r="B76" s="16" t="s">
        <v>95</v>
      </c>
      <c r="C76" s="10">
        <v>278536</v>
      </c>
      <c r="D76" s="10">
        <v>649762</v>
      </c>
      <c r="E76" s="10">
        <v>480397</v>
      </c>
      <c r="F76" s="10">
        <v>524943</v>
      </c>
      <c r="G76" s="11">
        <f t="shared" si="65"/>
        <v>1933638</v>
      </c>
      <c r="H76" s="17"/>
      <c r="J76" s="39" t="s">
        <v>95</v>
      </c>
      <c r="K76" s="29">
        <f>C76/C75</f>
        <v>1.0377645305514158</v>
      </c>
      <c r="L76" s="30">
        <f t="shared" si="75"/>
        <v>0.8129282349647052</v>
      </c>
      <c r="M76" s="29">
        <f>D76/D75</f>
        <v>1.0536292662075917</v>
      </c>
      <c r="N76" s="30">
        <f t="shared" si="76"/>
        <v>1.796540112088112</v>
      </c>
      <c r="O76" s="29">
        <f>E76/E75</f>
        <v>1.0293486179558602</v>
      </c>
      <c r="P76" s="30">
        <f t="shared" si="77"/>
        <v>1.3620995642445741</v>
      </c>
      <c r="Q76" s="30">
        <f>F76/F75</f>
        <v>1.01106124807396</v>
      </c>
      <c r="R76" s="30">
        <f t="shared" si="78"/>
        <v>1.1643104254962753</v>
      </c>
      <c r="S76" s="29">
        <f>G76/G75</f>
        <v>1.03348420894314</v>
      </c>
      <c r="T76" s="30">
        <f t="shared" si="79"/>
        <v>1.3161462860602393</v>
      </c>
      <c r="V76" s="50">
        <f>C76/G76</f>
        <v>0.14404764490561314</v>
      </c>
      <c r="W76" s="50">
        <f>D76/G76</f>
        <v>0.3360308392780862</v>
      </c>
      <c r="X76" s="50">
        <f>E76/G76</f>
        <v>0.2484420558553359</v>
      </c>
      <c r="Y76" s="50">
        <f>F76/G76</f>
        <v>0.2714794599609648</v>
      </c>
      <c r="Z76" s="50">
        <f>SUM(V76:Y76)</f>
        <v>1</v>
      </c>
    </row>
    <row r="77" spans="2:18" ht="13.5" customHeight="1">
      <c r="B77" s="24" t="s">
        <v>104</v>
      </c>
      <c r="C77" s="25">
        <v>203750</v>
      </c>
      <c r="D77" s="25">
        <v>-161900</v>
      </c>
      <c r="E77" s="25">
        <v>800</v>
      </c>
      <c r="F77" s="25">
        <v>-42650</v>
      </c>
      <c r="G77" s="26">
        <f>SUM(C77:F77)</f>
        <v>0</v>
      </c>
      <c r="H77" s="27"/>
      <c r="J77" s="52" t="s">
        <v>104</v>
      </c>
      <c r="K77" s="29"/>
      <c r="L77" s="30"/>
      <c r="Q77" s="30"/>
      <c r="R77" s="30"/>
    </row>
    <row r="78" spans="2:26" ht="13.5" customHeight="1">
      <c r="B78" s="24" t="s">
        <v>105</v>
      </c>
      <c r="C78" s="25">
        <f>SUM(C76:C77)</f>
        <v>482286</v>
      </c>
      <c r="D78" s="25">
        <f>SUM(D76:D77)</f>
        <v>487862</v>
      </c>
      <c r="E78" s="25">
        <f>SUM(E76:E77)</f>
        <v>481197</v>
      </c>
      <c r="F78" s="25">
        <f>SUM(F76:F77)</f>
        <v>482293</v>
      </c>
      <c r="G78" s="26">
        <f>SUM(G76:G77)</f>
        <v>1933638</v>
      </c>
      <c r="H78" s="27"/>
      <c r="J78" s="52" t="s">
        <v>105</v>
      </c>
      <c r="V78" s="50">
        <f>C78/G78</f>
        <v>0.24941897087252113</v>
      </c>
      <c r="W78" s="50">
        <f>D78/G78</f>
        <v>0.2523026543748106</v>
      </c>
      <c r="X78" s="50">
        <f>E78/G78</f>
        <v>0.24885578376097284</v>
      </c>
      <c r="Y78" s="50">
        <f>F78/G78</f>
        <v>0.24942259099169545</v>
      </c>
      <c r="Z78" s="50">
        <f>SUM(V78:Y78)</f>
        <v>1</v>
      </c>
    </row>
    <row r="79" spans="2:26" ht="13.5" customHeight="1">
      <c r="B79" s="16" t="s">
        <v>226</v>
      </c>
      <c r="C79" s="10">
        <f>276732+196514.43</f>
        <v>473246.43</v>
      </c>
      <c r="D79" s="10">
        <v>467628</v>
      </c>
      <c r="E79" s="10">
        <v>475019</v>
      </c>
      <c r="F79" s="10">
        <f>471236+11402.63</f>
        <v>482638.63</v>
      </c>
      <c r="G79" s="11">
        <f>SUM(C79:F79)</f>
        <v>1898532.06</v>
      </c>
      <c r="H79" s="17"/>
      <c r="J79" t="s">
        <v>108</v>
      </c>
      <c r="K79" s="29">
        <f>C79/C78</f>
        <v>0.9812568268620694</v>
      </c>
      <c r="L79" s="30">
        <f>K79*L76</f>
        <v>0.7976913803080494</v>
      </c>
      <c r="M79" s="29">
        <f>D79/D78</f>
        <v>0.95852515670415</v>
      </c>
      <c r="N79" s="30">
        <f>M79*N76</f>
        <v>1.7220288924645486</v>
      </c>
      <c r="O79" s="29">
        <f>E79/E78</f>
        <v>0.9871611834653998</v>
      </c>
      <c r="P79" s="30">
        <f>O79*P76</f>
        <v>1.3446118178373792</v>
      </c>
      <c r="Q79" s="30">
        <f>F79/F78</f>
        <v>1.000716639055512</v>
      </c>
      <c r="R79" s="30">
        <f>Q79*R76</f>
        <v>1.1651448158199258</v>
      </c>
      <c r="S79" s="29">
        <f>G79/G78</f>
        <v>0.9818446162104799</v>
      </c>
      <c r="T79" s="30">
        <f>S79*T76</f>
        <v>1.2922511451136642</v>
      </c>
      <c r="V79" s="50">
        <f>C79/G79</f>
        <v>0.24926965415585342</v>
      </c>
      <c r="W79" s="50">
        <f>D79/G79</f>
        <v>0.24631029933726797</v>
      </c>
      <c r="X79" s="50">
        <f>E79/G79</f>
        <v>0.2502033070750462</v>
      </c>
      <c r="Y79" s="50">
        <f>F79/G79</f>
        <v>0.2542167394318324</v>
      </c>
      <c r="Z79" s="50">
        <f>SUM(V79:Y79)</f>
        <v>1</v>
      </c>
    </row>
    <row r="80" spans="2:26" ht="13.5" customHeight="1">
      <c r="B80" s="16" t="s">
        <v>109</v>
      </c>
      <c r="C80" s="53">
        <f>330159+146618.55+0.32</f>
        <v>476777.87</v>
      </c>
      <c r="D80" s="10">
        <v>481257.71</v>
      </c>
      <c r="E80" s="10">
        <v>490723.16</v>
      </c>
      <c r="F80" s="10">
        <f>469326+11995.02+0.32</f>
        <v>481321.34</v>
      </c>
      <c r="G80" s="11">
        <f>SUM(C80:F80)</f>
        <v>1930080.08</v>
      </c>
      <c r="H80" s="17"/>
      <c r="J80" t="s">
        <v>109</v>
      </c>
      <c r="K80" s="29">
        <f>C80/C79</f>
        <v>1.0074621587742352</v>
      </c>
      <c r="L80" s="30">
        <f aca="true" t="shared" si="80" ref="L80:T80">K80*L79</f>
        <v>0.8036438800407469</v>
      </c>
      <c r="M80" s="29">
        <f>D80/D79</f>
        <v>1.0291464796804297</v>
      </c>
      <c r="N80" s="30">
        <f t="shared" si="80"/>
        <v>1.7722199725878796</v>
      </c>
      <c r="O80" s="29">
        <f>E80/E79</f>
        <v>1.0330600670710013</v>
      </c>
      <c r="P80" s="30">
        <f t="shared" si="80"/>
        <v>1.389064774719544</v>
      </c>
      <c r="Q80" s="30">
        <f>F80/F79</f>
        <v>0.9972706494712203</v>
      </c>
      <c r="R80" s="30">
        <f t="shared" si="80"/>
        <v>1.1619647272007627</v>
      </c>
      <c r="S80" s="29">
        <f>G80/G79</f>
        <v>1.0166170593927184</v>
      </c>
      <c r="T80" s="30">
        <f t="shared" si="80"/>
        <v>1.3137245591423263</v>
      </c>
      <c r="V80" s="50">
        <f>C80/G80</f>
        <v>0.2470249161889697</v>
      </c>
      <c r="W80" s="50">
        <f>D80/G80</f>
        <v>0.24934598050460166</v>
      </c>
      <c r="X80" s="50">
        <f>E80/G80</f>
        <v>0.2542501552578067</v>
      </c>
      <c r="Y80" s="50">
        <f>F80/G80</f>
        <v>0.2493789480486219</v>
      </c>
      <c r="Z80" s="50">
        <f>SUM(V80:Y80)</f>
        <v>1</v>
      </c>
    </row>
    <row r="81" spans="2:26" ht="13.5" customHeight="1">
      <c r="B81" s="16" t="s">
        <v>110</v>
      </c>
      <c r="C81" s="55">
        <f>322372+139330.33+0.73</f>
        <v>461703.05999999994</v>
      </c>
      <c r="D81" s="55">
        <v>492841.76</v>
      </c>
      <c r="E81" s="55">
        <v>484978.34</v>
      </c>
      <c r="F81" s="55">
        <f>284708+166652+26200.8+0.73</f>
        <v>477561.52999999997</v>
      </c>
      <c r="G81" s="11">
        <f>SUM(C81:F81)</f>
        <v>1917084.69</v>
      </c>
      <c r="H81" s="17"/>
      <c r="J81" t="s">
        <v>110</v>
      </c>
      <c r="K81" s="29">
        <f>C81/C80</f>
        <v>0.9683819007790776</v>
      </c>
      <c r="L81" s="30">
        <f>K81*L80</f>
        <v>0.7782341881033316</v>
      </c>
      <c r="M81" s="29">
        <f>D81/D80</f>
        <v>1.024070367620708</v>
      </c>
      <c r="N81" s="30">
        <f>M81*N80</f>
        <v>1.8148779588328308</v>
      </c>
      <c r="O81" s="29">
        <f>E81/E80</f>
        <v>0.988293154943003</v>
      </c>
      <c r="P81" s="30">
        <f>O81*P80</f>
        <v>1.3728032086277697</v>
      </c>
      <c r="Q81" s="30">
        <f>F81/F80</f>
        <v>0.9921885657511049</v>
      </c>
      <c r="R81" s="30">
        <f>Q81*R80</f>
        <v>1.1528881161346987</v>
      </c>
      <c r="S81" s="29">
        <f>G81/G80</f>
        <v>0.9932669166763277</v>
      </c>
      <c r="T81" s="30">
        <f>S81*T80</f>
        <v>1.3048791422212664</v>
      </c>
      <c r="V81" s="50">
        <f>C81/G81</f>
        <v>0.2408360269154306</v>
      </c>
      <c r="W81" s="50">
        <f>D81/G81</f>
        <v>0.25707876264976065</v>
      </c>
      <c r="X81" s="50">
        <f>E81/G81</f>
        <v>0.2529770033268588</v>
      </c>
      <c r="Y81" s="50">
        <f>F81/G81</f>
        <v>0.24910820710794992</v>
      </c>
      <c r="Z81" s="50">
        <f>SUM(V81:Y81)</f>
        <v>0.9999999999999999</v>
      </c>
    </row>
    <row r="82" spans="2:26" ht="13.5" customHeight="1">
      <c r="B82" s="16" t="s">
        <v>111</v>
      </c>
      <c r="C82" s="55">
        <f>389020+39210.97</f>
        <v>428230.97</v>
      </c>
      <c r="D82" s="55">
        <v>468052</v>
      </c>
      <c r="E82" s="55">
        <v>468694</v>
      </c>
      <c r="F82" s="55">
        <f>455747+26347.92</f>
        <v>482094.92</v>
      </c>
      <c r="G82" s="11">
        <f>SUM(C82:F82)</f>
        <v>1847071.89</v>
      </c>
      <c r="H82" s="17"/>
      <c r="J82" t="s">
        <v>111</v>
      </c>
      <c r="K82" s="29">
        <f>C82/C81</f>
        <v>0.9275029929409608</v>
      </c>
      <c r="L82" s="30">
        <f>K82*L81</f>
        <v>0.7218145386748187</v>
      </c>
      <c r="M82" s="29">
        <f>D82/D81</f>
        <v>0.9497003663001284</v>
      </c>
      <c r="N82" s="30">
        <f>M82*N81</f>
        <v>1.7235902622935688</v>
      </c>
      <c r="O82" s="29">
        <f>E82/E81</f>
        <v>0.9664225416747477</v>
      </c>
      <c r="P82" s="30">
        <f>O82*P81</f>
        <v>1.3267079661012982</v>
      </c>
      <c r="Q82" s="30">
        <f>F82/F81</f>
        <v>1.0094927872435622</v>
      </c>
      <c r="R82" s="30">
        <f>Q82*R81</f>
        <v>1.1638322377367964</v>
      </c>
      <c r="S82" s="29">
        <f>G82/G81</f>
        <v>0.963479547687588</v>
      </c>
      <c r="T82" s="30">
        <f>S82*T81</f>
        <v>1.2572243657343136</v>
      </c>
      <c r="V82" s="50">
        <f>C82/G82</f>
        <v>0.2318431525694433</v>
      </c>
      <c r="W82" s="50">
        <f>D82/G82</f>
        <v>0.2534021564260826</v>
      </c>
      <c r="X82" s="50">
        <f>E82/G82</f>
        <v>0.25374973358508535</v>
      </c>
      <c r="Y82" s="50">
        <f>F82/G82</f>
        <v>0.2610049574193888</v>
      </c>
      <c r="Z82" s="50">
        <f>SUM(V82:Y82)</f>
        <v>1</v>
      </c>
    </row>
    <row r="83" spans="2:10" ht="13.5" customHeight="1">
      <c r="B83" s="24" t="s">
        <v>114</v>
      </c>
      <c r="C83" s="59">
        <v>-23085</v>
      </c>
      <c r="D83" s="59">
        <v>-24640</v>
      </c>
      <c r="E83" s="59">
        <v>-24250</v>
      </c>
      <c r="F83" s="59">
        <v>-23880</v>
      </c>
      <c r="G83" s="26">
        <f>SUM(C83:F83)</f>
        <v>-95855</v>
      </c>
      <c r="H83" s="27"/>
      <c r="J83" t="s">
        <v>114</v>
      </c>
    </row>
    <row r="84" spans="2:10" ht="13.5" customHeight="1">
      <c r="B84" s="24" t="s">
        <v>115</v>
      </c>
      <c r="C84" s="25">
        <f>SUM(C82:C83)</f>
        <v>405145.97</v>
      </c>
      <c r="D84" s="25">
        <f>SUM(D82:D83)</f>
        <v>443412</v>
      </c>
      <c r="E84" s="25">
        <f>SUM(E82:E83)</f>
        <v>444444</v>
      </c>
      <c r="F84" s="25">
        <f>SUM(F82:F83)</f>
        <v>458214.92</v>
      </c>
      <c r="G84" s="26">
        <f>SUM(G82:G83)</f>
        <v>1751216.89</v>
      </c>
      <c r="H84" s="27"/>
      <c r="J84" t="s">
        <v>115</v>
      </c>
    </row>
    <row r="85" spans="2:26" ht="13.5" customHeight="1">
      <c r="B85" s="16" t="s">
        <v>112</v>
      </c>
      <c r="C85" s="55">
        <f>431876+1865.38+0.65</f>
        <v>433742.03</v>
      </c>
      <c r="D85" s="55">
        <v>457122.81</v>
      </c>
      <c r="E85" s="55">
        <v>438998.5</v>
      </c>
      <c r="F85" s="56">
        <f>453869+3032.22+0.66</f>
        <v>456901.87999999995</v>
      </c>
      <c r="G85" s="11">
        <f aca="true" t="shared" si="81" ref="G85:G95">SUM(C85:F85)</f>
        <v>1786765.22</v>
      </c>
      <c r="H85" s="17"/>
      <c r="J85" t="s">
        <v>112</v>
      </c>
      <c r="K85" s="29">
        <f aca="true" t="shared" si="82" ref="K85:K90">C85/C84</f>
        <v>1.0705821163666025</v>
      </c>
      <c r="L85" s="30">
        <f>K85*L82</f>
        <v>0.7727617364386703</v>
      </c>
      <c r="M85" s="29">
        <f aca="true" t="shared" si="83" ref="M85:M90">D85/D84</f>
        <v>1.0309211523368786</v>
      </c>
      <c r="N85" s="30">
        <f>M85*N82</f>
        <v>1.7768856593603088</v>
      </c>
      <c r="O85" s="29">
        <f aca="true" t="shared" si="84" ref="O85:O90">E85/E84</f>
        <v>0.9877476127476128</v>
      </c>
      <c r="P85" s="30">
        <f>O85*P82</f>
        <v>1.310452626329798</v>
      </c>
      <c r="Q85" s="30">
        <f aca="true" t="shared" si="85" ref="Q85:Q90">F85/F84</f>
        <v>0.9971344451202069</v>
      </c>
      <c r="R85" s="30">
        <f>Q85*R82</f>
        <v>1.1604972125886892</v>
      </c>
      <c r="S85" s="29">
        <f aca="true" t="shared" si="86" ref="S85:S90">G85/G84</f>
        <v>1.0202992160497035</v>
      </c>
      <c r="T85" s="30">
        <f>S85*T82</f>
        <v>1.282745034757306</v>
      </c>
      <c r="V85" s="50">
        <f aca="true" t="shared" si="87" ref="V85:V90">C85/G85</f>
        <v>0.24275267122112443</v>
      </c>
      <c r="W85" s="50">
        <f aca="true" t="shared" si="88" ref="W85:W90">D85/G85</f>
        <v>0.25583820687980485</v>
      </c>
      <c r="X85" s="50">
        <f aca="true" t="shared" si="89" ref="X85:X90">E85/G85</f>
        <v>0.2456945630495315</v>
      </c>
      <c r="Y85" s="50">
        <f aca="true" t="shared" si="90" ref="Y85:Y90">F85/G85</f>
        <v>0.25571455884953925</v>
      </c>
      <c r="Z85" s="50">
        <f aca="true" t="shared" si="91" ref="Z85:Z90">SUM(V85:Y85)</f>
        <v>1</v>
      </c>
    </row>
    <row r="86" spans="2:26" ht="13.5" customHeight="1">
      <c r="B86" s="16" t="s">
        <v>113</v>
      </c>
      <c r="C86" s="55">
        <f>431914+7972.11</f>
        <v>439886.11</v>
      </c>
      <c r="D86" s="55">
        <v>477978.81</v>
      </c>
      <c r="E86" s="55">
        <v>447947.24</v>
      </c>
      <c r="F86" s="56">
        <f>454596+3586.47</f>
        <v>458182.47</v>
      </c>
      <c r="G86" s="11">
        <f t="shared" si="81"/>
        <v>1823994.63</v>
      </c>
      <c r="H86" s="17"/>
      <c r="J86" t="s">
        <v>113</v>
      </c>
      <c r="K86" s="29">
        <f t="shared" si="82"/>
        <v>1.0141652862186308</v>
      </c>
      <c r="L86" s="30">
        <f aca="true" t="shared" si="92" ref="L86:L91">K86*L85</f>
        <v>0.7837081276141302</v>
      </c>
      <c r="M86" s="29">
        <f t="shared" si="83"/>
        <v>1.0456245007769356</v>
      </c>
      <c r="N86" s="30">
        <f aca="true" t="shared" si="93" ref="N86:N91">M86*N85</f>
        <v>1.857955180506319</v>
      </c>
      <c r="O86" s="29">
        <f t="shared" si="84"/>
        <v>1.020384443227027</v>
      </c>
      <c r="P86" s="30">
        <f aca="true" t="shared" si="94" ref="P86:P91">O86*P85</f>
        <v>1.3371654734929261</v>
      </c>
      <c r="Q86" s="30">
        <f t="shared" si="85"/>
        <v>1.0028027680691531</v>
      </c>
      <c r="R86" s="30">
        <f aca="true" t="shared" si="95" ref="R86:R91">Q86*R85</f>
        <v>1.163749817120474</v>
      </c>
      <c r="S86" s="29">
        <f t="shared" si="86"/>
        <v>1.0208362070087753</v>
      </c>
      <c r="T86" s="30">
        <f aca="true" t="shared" si="96" ref="T86:T91">S86*T85</f>
        <v>1.3094725758409878</v>
      </c>
      <c r="V86" s="50">
        <f t="shared" si="87"/>
        <v>0.24116634049520203</v>
      </c>
      <c r="W86" s="50">
        <f t="shared" si="88"/>
        <v>0.26205055768174057</v>
      </c>
      <c r="X86" s="50">
        <f t="shared" si="89"/>
        <v>0.24558583267320255</v>
      </c>
      <c r="Y86" s="50">
        <f t="shared" si="90"/>
        <v>0.2511972691498549</v>
      </c>
      <c r="Z86" s="50">
        <f t="shared" si="91"/>
        <v>1</v>
      </c>
    </row>
    <row r="87" spans="2:26" ht="13.5" customHeight="1">
      <c r="B87" s="16" t="s">
        <v>117</v>
      </c>
      <c r="C87" s="55">
        <f>430588.18+21321.53</f>
        <v>451909.70999999996</v>
      </c>
      <c r="D87" s="55">
        <v>506936.51</v>
      </c>
      <c r="E87" s="55">
        <v>471383.88</v>
      </c>
      <c r="F87" s="56">
        <f>451470.27+3633.02</f>
        <v>455103.29000000004</v>
      </c>
      <c r="G87" s="11">
        <f t="shared" si="81"/>
        <v>1885333.3900000001</v>
      </c>
      <c r="H87" s="17"/>
      <c r="J87" t="s">
        <v>117</v>
      </c>
      <c r="K87" s="29">
        <f t="shared" si="82"/>
        <v>1.027333438648472</v>
      </c>
      <c r="L87" s="30">
        <f t="shared" si="92"/>
        <v>0.80512956563858</v>
      </c>
      <c r="M87" s="29">
        <f t="shared" si="83"/>
        <v>1.0605836480491677</v>
      </c>
      <c r="N87" s="30">
        <f t="shared" si="93"/>
        <v>1.9705168832532418</v>
      </c>
      <c r="O87" s="29">
        <f t="shared" si="84"/>
        <v>1.0523200901963365</v>
      </c>
      <c r="P87" s="30">
        <f t="shared" si="94"/>
        <v>1.407126091673503</v>
      </c>
      <c r="Q87" s="30">
        <f t="shared" si="85"/>
        <v>0.9932795770209193</v>
      </c>
      <c r="R87" s="30">
        <f t="shared" si="95"/>
        <v>1.1559289261075967</v>
      </c>
      <c r="S87" s="29">
        <f t="shared" si="86"/>
        <v>1.0336288051462084</v>
      </c>
      <c r="T87" s="30">
        <f t="shared" si="96"/>
        <v>1.353508573938248</v>
      </c>
      <c r="V87" s="50">
        <f t="shared" si="87"/>
        <v>0.23969750517175104</v>
      </c>
      <c r="W87" s="50">
        <f t="shared" si="88"/>
        <v>0.2688842794005786</v>
      </c>
      <c r="X87" s="50">
        <f t="shared" si="89"/>
        <v>0.25002680295181107</v>
      </c>
      <c r="Y87" s="50">
        <f t="shared" si="90"/>
        <v>0.24139141247585924</v>
      </c>
      <c r="Z87" s="50">
        <f t="shared" si="91"/>
        <v>0.9999999999999999</v>
      </c>
    </row>
    <row r="88" spans="2:26" ht="13.5" customHeight="1">
      <c r="B88" s="16" t="s">
        <v>118</v>
      </c>
      <c r="C88" s="55">
        <f>370453.9+69423.24</f>
        <v>439877.14</v>
      </c>
      <c r="D88" s="55">
        <v>505249.32</v>
      </c>
      <c r="E88" s="55">
        <v>465238.67</v>
      </c>
      <c r="F88" s="56">
        <f>457211.55+4204.39</f>
        <v>461415.94</v>
      </c>
      <c r="G88" s="11">
        <f t="shared" si="81"/>
        <v>1871781.0699999998</v>
      </c>
      <c r="H88" s="17"/>
      <c r="J88" t="s">
        <v>118</v>
      </c>
      <c r="K88" s="29">
        <f t="shared" si="82"/>
        <v>0.9733739511815315</v>
      </c>
      <c r="L88" s="30">
        <f t="shared" si="92"/>
        <v>0.7836921465186948</v>
      </c>
      <c r="M88" s="29">
        <f t="shared" si="83"/>
        <v>0.9966717922920959</v>
      </c>
      <c r="N88" s="30">
        <f t="shared" si="93"/>
        <v>1.9639585937738433</v>
      </c>
      <c r="O88" s="29">
        <f t="shared" si="84"/>
        <v>0.9869634701975808</v>
      </c>
      <c r="P88" s="30">
        <f t="shared" si="94"/>
        <v>1.38878205044364</v>
      </c>
      <c r="Q88" s="30">
        <f t="shared" si="85"/>
        <v>1.013870807218291</v>
      </c>
      <c r="R88" s="30">
        <f t="shared" si="95"/>
        <v>1.1719625933996811</v>
      </c>
      <c r="S88" s="29">
        <f t="shared" si="86"/>
        <v>0.9928117116729152</v>
      </c>
      <c r="T88" s="30">
        <f t="shared" si="96"/>
        <v>1.3437791640555985</v>
      </c>
      <c r="U88" s="61">
        <f>T88/T72-1</f>
        <v>0.12678231719956656</v>
      </c>
      <c r="V88" s="50">
        <f t="shared" si="87"/>
        <v>0.2350045884372578</v>
      </c>
      <c r="W88" s="50">
        <f t="shared" si="88"/>
        <v>0.26992970924746024</v>
      </c>
      <c r="X88" s="50">
        <f t="shared" si="89"/>
        <v>0.24855399889261623</v>
      </c>
      <c r="Y88" s="50">
        <f t="shared" si="90"/>
        <v>0.2465117034226658</v>
      </c>
      <c r="Z88" s="50">
        <f t="shared" si="91"/>
        <v>1</v>
      </c>
    </row>
    <row r="89" spans="2:26" ht="13.5" customHeight="1">
      <c r="B89" s="16" t="s">
        <v>120</v>
      </c>
      <c r="C89" s="55">
        <f>340248.57+93770.58</f>
        <v>434019.15</v>
      </c>
      <c r="D89" s="55">
        <v>507893</v>
      </c>
      <c r="E89" s="55">
        <v>464329</v>
      </c>
      <c r="F89" s="56">
        <f>450581.43+4812.33</f>
        <v>455393.76</v>
      </c>
      <c r="G89" s="11">
        <f t="shared" si="81"/>
        <v>1861634.91</v>
      </c>
      <c r="H89" s="17"/>
      <c r="J89" t="s">
        <v>120</v>
      </c>
      <c r="K89" s="29">
        <f t="shared" si="82"/>
        <v>0.9866826678012866</v>
      </c>
      <c r="L89" s="30">
        <f t="shared" si="92"/>
        <v>0.7732554578619825</v>
      </c>
      <c r="M89" s="29">
        <f t="shared" si="83"/>
        <v>1.0052324266364179</v>
      </c>
      <c r="N89" s="30">
        <f t="shared" si="93"/>
        <v>1.9742348630327273</v>
      </c>
      <c r="O89" s="29">
        <f t="shared" si="84"/>
        <v>0.998044724012301</v>
      </c>
      <c r="P89" s="30">
        <f t="shared" si="94"/>
        <v>1.38606659824826</v>
      </c>
      <c r="Q89" s="30">
        <f t="shared" si="85"/>
        <v>0.9869484786329662</v>
      </c>
      <c r="R89" s="30">
        <f t="shared" si="95"/>
        <v>1.156666698570561</v>
      </c>
      <c r="S89" s="29">
        <f t="shared" si="86"/>
        <v>0.99457940879806</v>
      </c>
      <c r="T89" s="30">
        <f t="shared" si="96"/>
        <v>1.3364950865415683</v>
      </c>
      <c r="V89" s="50">
        <f t="shared" si="87"/>
        <v>0.2331387038718564</v>
      </c>
      <c r="W89" s="50">
        <f t="shared" si="88"/>
        <v>0.2728209474756788</v>
      </c>
      <c r="X89" s="50">
        <f t="shared" si="89"/>
        <v>0.24942001114493498</v>
      </c>
      <c r="Y89" s="50">
        <f t="shared" si="90"/>
        <v>0.2446203375075299</v>
      </c>
      <c r="Z89" s="50">
        <f t="shared" si="91"/>
        <v>1</v>
      </c>
    </row>
    <row r="90" spans="2:26" ht="13.5" customHeight="1">
      <c r="B90" s="16" t="s">
        <v>121</v>
      </c>
      <c r="C90" s="55">
        <f>380194.46+46574.57</f>
        <v>426769.03</v>
      </c>
      <c r="D90" s="55">
        <v>494997.17</v>
      </c>
      <c r="E90" s="55">
        <v>451015.13</v>
      </c>
      <c r="F90" s="56">
        <f>445203.53+4920.07</f>
        <v>450123.60000000003</v>
      </c>
      <c r="G90" s="11">
        <f t="shared" si="81"/>
        <v>1822904.9300000002</v>
      </c>
      <c r="H90" s="17"/>
      <c r="J90" t="s">
        <v>121</v>
      </c>
      <c r="K90" s="29">
        <f t="shared" si="82"/>
        <v>0.9832953914591096</v>
      </c>
      <c r="L90" s="30">
        <f t="shared" si="92"/>
        <v>0.7603385281362911</v>
      </c>
      <c r="M90" s="29">
        <f t="shared" si="83"/>
        <v>0.9746091598033444</v>
      </c>
      <c r="N90" s="30">
        <f t="shared" si="93"/>
        <v>1.924107381114797</v>
      </c>
      <c r="O90" s="29">
        <f t="shared" si="84"/>
        <v>0.9713266455465844</v>
      </c>
      <c r="P90" s="30">
        <f t="shared" si="94"/>
        <v>1.3463234193806477</v>
      </c>
      <c r="Q90" s="30">
        <f t="shared" si="85"/>
        <v>0.9884272459069269</v>
      </c>
      <c r="R90" s="30">
        <f t="shared" si="95"/>
        <v>1.143280879300357</v>
      </c>
      <c r="S90" s="29">
        <f t="shared" si="86"/>
        <v>0.9791957167369623</v>
      </c>
      <c r="T90" s="30">
        <f t="shared" si="96"/>
        <v>1.3086902641814995</v>
      </c>
      <c r="V90" s="50">
        <f t="shared" si="87"/>
        <v>0.23411480378189553</v>
      </c>
      <c r="W90" s="50">
        <f t="shared" si="88"/>
        <v>0.2715430529885066</v>
      </c>
      <c r="X90" s="50">
        <f t="shared" si="89"/>
        <v>0.2474156071320735</v>
      </c>
      <c r="Y90" s="50">
        <f t="shared" si="90"/>
        <v>0.2469265360975243</v>
      </c>
      <c r="Z90" s="50">
        <f t="shared" si="91"/>
        <v>1</v>
      </c>
    </row>
    <row r="91" spans="2:26" ht="13.5" customHeight="1">
      <c r="B91" s="16" t="s">
        <v>126</v>
      </c>
      <c r="C91" s="64">
        <f>437822.73+11677.78</f>
        <v>449500.51</v>
      </c>
      <c r="D91" s="55">
        <v>536098.14</v>
      </c>
      <c r="E91" s="55">
        <v>473693.31</v>
      </c>
      <c r="F91" s="65">
        <f>444973.36+5535.6</f>
        <v>450508.95999999996</v>
      </c>
      <c r="G91" s="11">
        <f t="shared" si="81"/>
        <v>1909800.92</v>
      </c>
      <c r="H91" s="17"/>
      <c r="J91" t="s">
        <v>126</v>
      </c>
      <c r="K91" s="29">
        <f aca="true" t="shared" si="97" ref="K91:K96">C91/C90</f>
        <v>1.053264127436801</v>
      </c>
      <c r="L91" s="30">
        <f t="shared" si="92"/>
        <v>0.8008372963940523</v>
      </c>
      <c r="M91" s="29">
        <f aca="true" t="shared" si="98" ref="M91:M96">D91/D90</f>
        <v>1.08303273733868</v>
      </c>
      <c r="N91" s="30">
        <f t="shared" si="93"/>
        <v>2.0838712839023175</v>
      </c>
      <c r="O91" s="29">
        <f aca="true" t="shared" si="99" ref="O91:O96">E91/E90</f>
        <v>1.0502825259986288</v>
      </c>
      <c r="P91" s="30">
        <f t="shared" si="94"/>
        <v>1.4140199617182179</v>
      </c>
      <c r="Q91" s="30">
        <f aca="true" t="shared" si="100" ref="Q91:Q96">F91/F90</f>
        <v>1.0008561204078168</v>
      </c>
      <c r="R91" s="30">
        <f t="shared" si="95"/>
        <v>1.1442596653929928</v>
      </c>
      <c r="S91" s="29">
        <f aca="true" t="shared" si="101" ref="S91:S96">G91/G90</f>
        <v>1.0476689642832882</v>
      </c>
      <c r="T91" s="30">
        <f t="shared" si="96"/>
        <v>1.3710741736426544</v>
      </c>
      <c r="V91" s="50">
        <f aca="true" t="shared" si="102" ref="V91:V96">C91/G91</f>
        <v>0.23536511334385576</v>
      </c>
      <c r="W91" s="50">
        <f aca="true" t="shared" si="103" ref="W91:W96">D91/G91</f>
        <v>0.28070891284312505</v>
      </c>
      <c r="X91" s="50">
        <f aca="true" t="shared" si="104" ref="X91:X96">E91/G91</f>
        <v>0.24803282113823677</v>
      </c>
      <c r="Y91" s="50">
        <f aca="true" t="shared" si="105" ref="Y91:Y96">F91/G91</f>
        <v>0.23589315267478245</v>
      </c>
      <c r="Z91" s="50">
        <f aca="true" t="shared" si="106" ref="Z91:Z96">SUM(V91:Y91)</f>
        <v>1</v>
      </c>
    </row>
    <row r="92" spans="2:26" ht="13.5" customHeight="1">
      <c r="B92" s="16" t="s">
        <v>127</v>
      </c>
      <c r="C92" s="55">
        <f>435194.85+17571.13</f>
        <v>452765.98</v>
      </c>
      <c r="D92" s="55">
        <v>540606.6</v>
      </c>
      <c r="E92" s="55">
        <v>471708.06</v>
      </c>
      <c r="F92" s="56">
        <f>447701.27+6098.79</f>
        <v>453800.06</v>
      </c>
      <c r="G92" s="11">
        <f t="shared" si="81"/>
        <v>1918880.7</v>
      </c>
      <c r="H92" s="17"/>
      <c r="J92" t="s">
        <v>127</v>
      </c>
      <c r="K92" s="29">
        <f t="shared" si="97"/>
        <v>1.0072646636151759</v>
      </c>
      <c r="L92" s="30">
        <f>K92*L91</f>
        <v>0.806655109962842</v>
      </c>
      <c r="M92" s="29">
        <f t="shared" si="98"/>
        <v>1.0084097661670677</v>
      </c>
      <c r="N92" s="30">
        <f>M92*N91</f>
        <v>2.1013961541222033</v>
      </c>
      <c r="O92" s="29">
        <f t="shared" si="99"/>
        <v>0.9958089971758309</v>
      </c>
      <c r="P92" s="30">
        <f>O92*P91</f>
        <v>1.4080938000652254</v>
      </c>
      <c r="Q92" s="30">
        <f t="shared" si="100"/>
        <v>1.0073052931067121</v>
      </c>
      <c r="R92" s="30">
        <f>Q92*R91</f>
        <v>1.152618817638877</v>
      </c>
      <c r="S92" s="29">
        <f t="shared" si="101"/>
        <v>1.0047543070614922</v>
      </c>
      <c r="T92" s="30">
        <f>S92*T91</f>
        <v>1.377592681268233</v>
      </c>
      <c r="V92" s="50">
        <f t="shared" si="102"/>
        <v>0.23595316790668644</v>
      </c>
      <c r="W92" s="50">
        <f t="shared" si="103"/>
        <v>0.28173017738934997</v>
      </c>
      <c r="X92" s="50">
        <f t="shared" si="104"/>
        <v>0.24582458930354556</v>
      </c>
      <c r="Y92" s="50">
        <f t="shared" si="105"/>
        <v>0.23649206540041806</v>
      </c>
      <c r="Z92" s="50">
        <f t="shared" si="106"/>
        <v>1</v>
      </c>
    </row>
    <row r="93" spans="2:26" ht="13.5" customHeight="1">
      <c r="B93" s="16" t="s">
        <v>227</v>
      </c>
      <c r="C93" s="55">
        <f>442317.35+33401.83</f>
        <v>475719.18</v>
      </c>
      <c r="D93" s="55">
        <v>580469.9</v>
      </c>
      <c r="E93" s="55">
        <v>492280.37</v>
      </c>
      <c r="F93" s="55">
        <f>451133.38+6195.73</f>
        <v>457329.11</v>
      </c>
      <c r="G93" s="11">
        <f t="shared" si="81"/>
        <v>2005798.56</v>
      </c>
      <c r="H93" s="17"/>
      <c r="J93" t="s">
        <v>128</v>
      </c>
      <c r="K93" s="29">
        <f t="shared" si="97"/>
        <v>1.050695504993551</v>
      </c>
      <c r="L93" s="30">
        <f>K93*L92</f>
        <v>0.8475488981180366</v>
      </c>
      <c r="M93" s="29">
        <f t="shared" si="98"/>
        <v>1.0737380934675975</v>
      </c>
      <c r="N93" s="30">
        <f>M93*N92</f>
        <v>2.2563491001473164</v>
      </c>
      <c r="O93" s="29">
        <f t="shared" si="99"/>
        <v>1.0436123775370725</v>
      </c>
      <c r="P93" s="30">
        <f>O93*P92</f>
        <v>1.4695041184812812</v>
      </c>
      <c r="Q93" s="30">
        <f t="shared" si="100"/>
        <v>1.007776662700309</v>
      </c>
      <c r="R93" s="30">
        <f>Q93*R92</f>
        <v>1.1615823454056835</v>
      </c>
      <c r="S93" s="29">
        <f t="shared" si="101"/>
        <v>1.0452961249753567</v>
      </c>
      <c r="T93" s="30">
        <f>S93*T92</f>
        <v>1.4399922915240957</v>
      </c>
      <c r="V93" s="50">
        <f t="shared" si="102"/>
        <v>0.23717196207379868</v>
      </c>
      <c r="W93" s="50">
        <f t="shared" si="103"/>
        <v>0.2893959102254017</v>
      </c>
      <c r="X93" s="50">
        <f t="shared" si="104"/>
        <v>0.24542861871433388</v>
      </c>
      <c r="Y93" s="50">
        <f t="shared" si="105"/>
        <v>0.2280035089864657</v>
      </c>
      <c r="Z93" s="50">
        <f t="shared" si="106"/>
        <v>0.9999999999999999</v>
      </c>
    </row>
    <row r="94" spans="2:26" ht="13.5" customHeight="1">
      <c r="B94" s="16" t="s">
        <v>129</v>
      </c>
      <c r="C94" s="55">
        <f>416324.03+62033.6</f>
        <v>478357.63</v>
      </c>
      <c r="D94" s="67">
        <v>584594.73</v>
      </c>
      <c r="E94" s="67">
        <v>489127.58</v>
      </c>
      <c r="F94" s="55">
        <f>449626.37+8610.36</f>
        <v>458236.73</v>
      </c>
      <c r="G94" s="11">
        <f t="shared" si="81"/>
        <v>2010316.67</v>
      </c>
      <c r="H94" s="17"/>
      <c r="J94" t="s">
        <v>129</v>
      </c>
      <c r="K94" s="29">
        <f t="shared" si="97"/>
        <v>1.0055462342300348</v>
      </c>
      <c r="L94" s="30">
        <f>K94*L93</f>
        <v>0.8522496028284071</v>
      </c>
      <c r="M94" s="29">
        <f t="shared" si="98"/>
        <v>1.0071060187616963</v>
      </c>
      <c r="N94" s="30">
        <f>M94*N93</f>
        <v>2.2723827591859</v>
      </c>
      <c r="O94" s="29">
        <f t="shared" si="99"/>
        <v>0.9935955398749701</v>
      </c>
      <c r="P94" s="30">
        <f>O94*P93</f>
        <v>1.4600927379509006</v>
      </c>
      <c r="Q94" s="30">
        <f t="shared" si="100"/>
        <v>1.001984610164002</v>
      </c>
      <c r="R94" s="30">
        <f>Q94*R93</f>
        <v>1.1638876335347008</v>
      </c>
      <c r="S94" s="29">
        <f t="shared" si="101"/>
        <v>1.0022525243013436</v>
      </c>
      <c r="T94" s="30">
        <f>S94*T93</f>
        <v>1.443235909154501</v>
      </c>
      <c r="V94" s="50">
        <f t="shared" si="102"/>
        <v>0.23795138205763375</v>
      </c>
      <c r="W94" s="50">
        <f t="shared" si="103"/>
        <v>0.29079733492932736</v>
      </c>
      <c r="X94" s="50">
        <f t="shared" si="104"/>
        <v>0.243308722102971</v>
      </c>
      <c r="Y94" s="50">
        <f t="shared" si="105"/>
        <v>0.22794256091006795</v>
      </c>
      <c r="Z94" s="50">
        <f t="shared" si="106"/>
        <v>1.0000000000000002</v>
      </c>
    </row>
    <row r="95" spans="2:26" ht="13.5" customHeight="1">
      <c r="B95" s="16" t="s">
        <v>130</v>
      </c>
      <c r="C95" s="10">
        <f>410019.13+74007.73</f>
        <v>484026.86</v>
      </c>
      <c r="D95" s="67">
        <v>599735.42</v>
      </c>
      <c r="E95" s="67">
        <v>497904.84</v>
      </c>
      <c r="F95" s="55">
        <f>460424.07-7562.06</f>
        <v>452862.01</v>
      </c>
      <c r="G95" s="68">
        <f t="shared" si="81"/>
        <v>2034529.1300000001</v>
      </c>
      <c r="H95" s="17"/>
      <c r="J95" t="s">
        <v>130</v>
      </c>
      <c r="K95" s="29">
        <f t="shared" si="97"/>
        <v>1.0118514467930615</v>
      </c>
      <c r="L95" s="30">
        <f>K95*L94</f>
        <v>0.8623499936507357</v>
      </c>
      <c r="M95" s="29">
        <f t="shared" si="98"/>
        <v>1.0258994637190795</v>
      </c>
      <c r="N95" s="30">
        <f>M95*N94</f>
        <v>2.3312362540132967</v>
      </c>
      <c r="O95" s="29">
        <f t="shared" si="99"/>
        <v>1.017944725177836</v>
      </c>
      <c r="P95" s="30">
        <f>O95*P94</f>
        <v>1.4862937008675836</v>
      </c>
      <c r="Q95" s="30">
        <f t="shared" si="100"/>
        <v>0.9882708660215868</v>
      </c>
      <c r="R95" s="30">
        <f>Q95*R94</f>
        <v>1.150236239545154</v>
      </c>
      <c r="S95" s="29">
        <f t="shared" si="101"/>
        <v>1.01204410248461</v>
      </c>
      <c r="T95" s="30">
        <f>S95*T94</f>
        <v>1.4606183903538272</v>
      </c>
      <c r="V95" s="50">
        <f t="shared" si="102"/>
        <v>0.23790608493278242</v>
      </c>
      <c r="W95" s="50">
        <f t="shared" si="103"/>
        <v>0.2947784876395454</v>
      </c>
      <c r="X95" s="50">
        <f t="shared" si="104"/>
        <v>0.24472730945857726</v>
      </c>
      <c r="Y95" s="50">
        <f t="shared" si="105"/>
        <v>0.2225881179690949</v>
      </c>
      <c r="Z95" s="50">
        <f t="shared" si="106"/>
        <v>1</v>
      </c>
    </row>
    <row r="96" spans="2:26" ht="13.5" customHeight="1">
      <c r="B96" s="16" t="s">
        <v>131</v>
      </c>
      <c r="C96" s="10">
        <f>414362.95+62928.8</f>
        <v>477291.75</v>
      </c>
      <c r="D96" s="67">
        <v>604513.62</v>
      </c>
      <c r="E96" s="67">
        <v>518456.2</v>
      </c>
      <c r="F96" s="55">
        <f>438281.72+13866.86</f>
        <v>452148.57999999996</v>
      </c>
      <c r="G96" s="68">
        <f>SUM(C96:F96)</f>
        <v>2052410.15</v>
      </c>
      <c r="H96" s="17"/>
      <c r="J96" t="s">
        <v>131</v>
      </c>
      <c r="K96" s="29">
        <f t="shared" si="97"/>
        <v>0.9860852556818851</v>
      </c>
      <c r="L96" s="30">
        <f>K96*L95</f>
        <v>0.8503506139763577</v>
      </c>
      <c r="M96" s="29">
        <f t="shared" si="98"/>
        <v>1.007967179927442</v>
      </c>
      <c r="N96" s="30">
        <f>M96*N95</f>
        <v>2.3498096327023963</v>
      </c>
      <c r="O96" s="29">
        <f t="shared" si="99"/>
        <v>1.0412756783002952</v>
      </c>
      <c r="P96" s="30">
        <f>O96*P95</f>
        <v>1.547641481524349</v>
      </c>
      <c r="Q96" s="30">
        <f t="shared" si="100"/>
        <v>0.9984246194552728</v>
      </c>
      <c r="R96" s="30">
        <f>Q96*R95</f>
        <v>1.1484241797515344</v>
      </c>
      <c r="S96" s="29">
        <f t="shared" si="101"/>
        <v>1.0087887756121732</v>
      </c>
      <c r="T96" s="30">
        <f>S96*T95</f>
        <v>1.4734554376416606</v>
      </c>
      <c r="V96" s="50">
        <f t="shared" si="102"/>
        <v>0.2325518366784534</v>
      </c>
      <c r="W96" s="50">
        <f t="shared" si="103"/>
        <v>0.2945384089042826</v>
      </c>
      <c r="X96" s="50">
        <f t="shared" si="104"/>
        <v>0.25260847594229646</v>
      </c>
      <c r="Y96" s="50">
        <f t="shared" si="105"/>
        <v>0.22030127847496758</v>
      </c>
      <c r="Z96" s="50">
        <f t="shared" si="106"/>
        <v>1</v>
      </c>
    </row>
    <row r="97" spans="2:26" ht="13.5" customHeight="1">
      <c r="B97" s="24" t="s">
        <v>132</v>
      </c>
      <c r="C97" s="59">
        <v>-24200</v>
      </c>
      <c r="D97" s="59">
        <v>-29985</v>
      </c>
      <c r="E97" s="59">
        <v>-24895</v>
      </c>
      <c r="F97" s="59">
        <v>-22645</v>
      </c>
      <c r="G97" s="26">
        <f>SUM(C97:F97)</f>
        <v>-101725</v>
      </c>
      <c r="H97" s="27"/>
      <c r="J97" t="s">
        <v>132</v>
      </c>
      <c r="K97" s="29"/>
      <c r="L97" s="30"/>
      <c r="M97" s="29"/>
      <c r="N97" s="30"/>
      <c r="O97" s="29"/>
      <c r="P97" s="30"/>
      <c r="Q97" s="30"/>
      <c r="R97" s="30"/>
      <c r="S97" s="29"/>
      <c r="T97" s="30"/>
      <c r="V97" s="50"/>
      <c r="W97" s="50"/>
      <c r="X97" s="50"/>
      <c r="Y97" s="50"/>
      <c r="Z97" s="50"/>
    </row>
    <row r="98" spans="2:26" ht="13.5" customHeight="1">
      <c r="B98" s="24" t="s">
        <v>133</v>
      </c>
      <c r="C98" s="25">
        <f>SUM(C96:C97)</f>
        <v>453091.75</v>
      </c>
      <c r="D98" s="25">
        <f>SUM(D96:D97)</f>
        <v>574528.62</v>
      </c>
      <c r="E98" s="25">
        <f>SUM(E96:E97)</f>
        <v>493561.2</v>
      </c>
      <c r="F98" s="25">
        <f>SUM(F96:F97)</f>
        <v>429503.57999999996</v>
      </c>
      <c r="G98" s="26">
        <f>SUM(G96:G97)</f>
        <v>1950685.15</v>
      </c>
      <c r="H98" s="27"/>
      <c r="J98" t="s">
        <v>133</v>
      </c>
      <c r="K98" s="29"/>
      <c r="L98" s="30"/>
      <c r="M98" s="29"/>
      <c r="N98" s="30"/>
      <c r="O98" s="29"/>
      <c r="P98" s="30"/>
      <c r="Q98" s="30"/>
      <c r="R98" s="30"/>
      <c r="S98" s="29"/>
      <c r="T98" s="30"/>
      <c r="V98" s="50"/>
      <c r="W98" s="50"/>
      <c r="X98" s="50"/>
      <c r="Y98" s="50"/>
      <c r="Z98" s="50"/>
    </row>
    <row r="99" spans="2:26" ht="13.5" customHeight="1">
      <c r="B99" s="16" t="s">
        <v>134</v>
      </c>
      <c r="C99" s="10">
        <f>301991.28+137846.68</f>
        <v>439837.96</v>
      </c>
      <c r="D99" s="67">
        <v>547669.32</v>
      </c>
      <c r="E99" s="67">
        <v>478579.44</v>
      </c>
      <c r="F99" s="55">
        <f>423898.06+4702.7</f>
        <v>428600.76</v>
      </c>
      <c r="G99" s="11">
        <f aca="true" t="shared" si="107" ref="G99:G105">SUM(C99:F99)</f>
        <v>1894687.48</v>
      </c>
      <c r="H99" s="17"/>
      <c r="J99" t="s">
        <v>134</v>
      </c>
      <c r="K99" s="29">
        <f aca="true" t="shared" si="108" ref="K99:K104">C99/C98</f>
        <v>0.9707481100682147</v>
      </c>
      <c r="L99" s="30">
        <f>K99*L96</f>
        <v>0.8254762514128953</v>
      </c>
      <c r="M99" s="29">
        <f aca="true" t="shared" si="109" ref="M99:M104">D99/D98</f>
        <v>0.953249848545404</v>
      </c>
      <c r="N99" s="30">
        <f>M99*N96</f>
        <v>2.2399556764840907</v>
      </c>
      <c r="O99" s="29">
        <f aca="true" t="shared" si="110" ref="O99:O104">E99/E98</f>
        <v>0.9696455880243422</v>
      </c>
      <c r="P99" s="30">
        <f>O99*P96</f>
        <v>1.5006637344035416</v>
      </c>
      <c r="Q99" s="30">
        <f aca="true" t="shared" si="111" ref="Q99:Q104">F99/F98</f>
        <v>0.9978979919096368</v>
      </c>
      <c r="R99" s="30">
        <f>Q99*R96</f>
        <v>1.146010182834528</v>
      </c>
      <c r="S99" s="29">
        <f aca="true" t="shared" si="112" ref="S99:S104">G99/G98</f>
        <v>0.9712933324990966</v>
      </c>
      <c r="T99" s="30">
        <f>S99*T96</f>
        <v>1.4311574423158833</v>
      </c>
      <c r="V99" s="50">
        <f aca="true" t="shared" si="113" ref="V99:V104">C99/G99</f>
        <v>0.23214274894559395</v>
      </c>
      <c r="W99" s="50">
        <f aca="true" t="shared" si="114" ref="W99:W104">D99/G99</f>
        <v>0.28905522719768006</v>
      </c>
      <c r="X99" s="50">
        <f aca="true" t="shared" si="115" ref="X99:X104">E99/G99</f>
        <v>0.2525901738686741</v>
      </c>
      <c r="Y99" s="50">
        <f aca="true" t="shared" si="116" ref="Y99:Y104">F99/G99</f>
        <v>0.22621184998805186</v>
      </c>
      <c r="Z99" s="50">
        <f aca="true" t="shared" si="117" ref="Z99:Z104">SUM(V99:Y99)</f>
        <v>1</v>
      </c>
    </row>
    <row r="100" spans="2:26" ht="13.5" customHeight="1">
      <c r="B100" s="16" t="s">
        <v>136</v>
      </c>
      <c r="C100" s="10">
        <f>285079.33+155289.54</f>
        <v>440368.87</v>
      </c>
      <c r="D100" s="67">
        <v>546885.02</v>
      </c>
      <c r="E100" s="67">
        <v>475104.61</v>
      </c>
      <c r="F100" s="55">
        <f>423470.65+5529.73</f>
        <v>429000.38</v>
      </c>
      <c r="G100" s="11">
        <f t="shared" si="107"/>
        <v>1891358.88</v>
      </c>
      <c r="H100" s="17"/>
      <c r="J100" t="s">
        <v>136</v>
      </c>
      <c r="K100" s="29">
        <f t="shared" si="108"/>
        <v>1.0012070581629653</v>
      </c>
      <c r="L100" s="30">
        <f aca="true" t="shared" si="118" ref="L100:L105">K100*L99</f>
        <v>0.8264726492604972</v>
      </c>
      <c r="M100" s="29">
        <f t="shared" si="109"/>
        <v>0.9985679314663821</v>
      </c>
      <c r="N100" s="30">
        <f aca="true" t="shared" si="119" ref="N100:N105">M100*N99</f>
        <v>2.236747906443099</v>
      </c>
      <c r="O100" s="29">
        <f t="shared" si="110"/>
        <v>0.9927392827406041</v>
      </c>
      <c r="P100" s="30">
        <f aca="true" t="shared" si="120" ref="P100:P105">O100*P99</f>
        <v>1.4897678393266083</v>
      </c>
      <c r="Q100" s="30">
        <f t="shared" si="111"/>
        <v>1.0009323828543841</v>
      </c>
      <c r="R100" s="30">
        <f aca="true" t="shared" si="121" ref="R100:R105">Q100*R99</f>
        <v>1.1470787030799525</v>
      </c>
      <c r="S100" s="29">
        <f t="shared" si="112"/>
        <v>0.9982431931201656</v>
      </c>
      <c r="T100" s="30">
        <f aca="true" t="shared" si="122" ref="T100:T105">S100*T99</f>
        <v>1.4286431750750965</v>
      </c>
      <c r="V100" s="50">
        <f t="shared" si="113"/>
        <v>0.23283199960443257</v>
      </c>
      <c r="W100" s="50">
        <f t="shared" si="114"/>
        <v>0.28914925971109195</v>
      </c>
      <c r="X100" s="50">
        <f t="shared" si="115"/>
        <v>0.2511974935185225</v>
      </c>
      <c r="Y100" s="50">
        <f t="shared" si="116"/>
        <v>0.226821247165953</v>
      </c>
      <c r="Z100" s="50">
        <f t="shared" si="117"/>
        <v>1</v>
      </c>
    </row>
    <row r="101" spans="2:26" ht="13.5" customHeight="1">
      <c r="B101" s="16" t="s">
        <v>135</v>
      </c>
      <c r="C101" s="10">
        <f>200449.21+210731.38</f>
        <v>411180.58999999997</v>
      </c>
      <c r="D101" s="67">
        <v>538713.08</v>
      </c>
      <c r="E101" s="67">
        <v>477795.42</v>
      </c>
      <c r="F101" s="55">
        <f>428870.2+5937.47</f>
        <v>434807.67</v>
      </c>
      <c r="G101" s="11">
        <f t="shared" si="107"/>
        <v>1862496.7599999998</v>
      </c>
      <c r="H101" s="17"/>
      <c r="J101" t="s">
        <v>135</v>
      </c>
      <c r="K101" s="29">
        <f t="shared" si="108"/>
        <v>0.9337185664372688</v>
      </c>
      <c r="L101" s="30">
        <f t="shared" si="118"/>
        <v>0.7716928572671231</v>
      </c>
      <c r="M101" s="29">
        <f t="shared" si="109"/>
        <v>0.9850572977844593</v>
      </c>
      <c r="N101" s="30">
        <f t="shared" si="119"/>
        <v>2.203324848545886</v>
      </c>
      <c r="O101" s="29">
        <f t="shared" si="110"/>
        <v>1.0056636158508334</v>
      </c>
      <c r="P101" s="30">
        <f t="shared" si="120"/>
        <v>1.4982053120754804</v>
      </c>
      <c r="Q101" s="30">
        <f t="shared" si="111"/>
        <v>1.0135367945361726</v>
      </c>
      <c r="R101" s="30">
        <f t="shared" si="121"/>
        <v>1.1626064718003652</v>
      </c>
      <c r="S101" s="29">
        <f t="shared" si="112"/>
        <v>0.9847400087285391</v>
      </c>
      <c r="T101" s="30">
        <f t="shared" si="122"/>
        <v>1.4068420926934184</v>
      </c>
      <c r="V101" s="50">
        <f t="shared" si="113"/>
        <v>0.2207684860616885</v>
      </c>
      <c r="W101" s="50">
        <f t="shared" si="114"/>
        <v>0.2892424253129976</v>
      </c>
      <c r="X101" s="50">
        <f t="shared" si="115"/>
        <v>0.2565348999586985</v>
      </c>
      <c r="Y101" s="50">
        <f t="shared" si="116"/>
        <v>0.23345418866661546</v>
      </c>
      <c r="Z101" s="50">
        <f t="shared" si="117"/>
        <v>1</v>
      </c>
    </row>
    <row r="102" spans="2:26" ht="13.5" customHeight="1">
      <c r="B102" s="16" t="s">
        <v>137</v>
      </c>
      <c r="C102" s="10">
        <f>186489.86+227210.44</f>
        <v>413700.3</v>
      </c>
      <c r="D102" s="67">
        <v>540061.05</v>
      </c>
      <c r="E102" s="67">
        <v>487903.5</v>
      </c>
      <c r="F102" s="55">
        <f>434774.97+6822.01</f>
        <v>441596.98</v>
      </c>
      <c r="G102" s="11">
        <f t="shared" si="107"/>
        <v>1883261.83</v>
      </c>
      <c r="H102" s="17"/>
      <c r="J102" t="s">
        <v>137</v>
      </c>
      <c r="K102" s="29">
        <f t="shared" si="108"/>
        <v>1.0061279886776757</v>
      </c>
      <c r="L102" s="30">
        <f t="shared" si="118"/>
        <v>0.7764217823590993</v>
      </c>
      <c r="M102" s="29">
        <f t="shared" si="109"/>
        <v>1.0025022039561395</v>
      </c>
      <c r="N102" s="30">
        <f t="shared" si="119"/>
        <v>2.2088380166985777</v>
      </c>
      <c r="O102" s="29">
        <f t="shared" si="110"/>
        <v>1.021155665326386</v>
      </c>
      <c r="P102" s="30">
        <f t="shared" si="120"/>
        <v>1.529900842247963</v>
      </c>
      <c r="Q102" s="30">
        <f t="shared" si="111"/>
        <v>1.0156145129638583</v>
      </c>
      <c r="R102" s="30">
        <f t="shared" si="121"/>
        <v>1.1807600056261576</v>
      </c>
      <c r="S102" s="29">
        <f t="shared" si="112"/>
        <v>1.0111490502673413</v>
      </c>
      <c r="T102" s="30">
        <f t="shared" si="122"/>
        <v>1.422527045903069</v>
      </c>
      <c r="U102" s="61">
        <f>T102/T88-1</f>
        <v>0.05860180299998485</v>
      </c>
      <c r="V102" s="50">
        <f t="shared" si="113"/>
        <v>0.2196722162632054</v>
      </c>
      <c r="W102" s="50">
        <f t="shared" si="114"/>
        <v>0.286768967223214</v>
      </c>
      <c r="X102" s="50">
        <f t="shared" si="115"/>
        <v>0.2590736413958966</v>
      </c>
      <c r="Y102" s="50">
        <f t="shared" si="116"/>
        <v>0.23448517511768396</v>
      </c>
      <c r="Z102" s="50">
        <f t="shared" si="117"/>
        <v>1</v>
      </c>
    </row>
    <row r="103" spans="2:26" ht="13.5" customHeight="1">
      <c r="B103" s="16" t="s">
        <v>139</v>
      </c>
      <c r="C103" s="10">
        <f>132641.13+279555.12</f>
        <v>412196.25</v>
      </c>
      <c r="D103" s="67">
        <v>548992.02</v>
      </c>
      <c r="E103" s="67">
        <v>493104.32</v>
      </c>
      <c r="F103" s="55">
        <f>437467.17+7724.83</f>
        <v>445192</v>
      </c>
      <c r="G103" s="11">
        <f t="shared" si="107"/>
        <v>1899484.59</v>
      </c>
      <c r="H103" s="17"/>
      <c r="J103" t="s">
        <v>139</v>
      </c>
      <c r="K103" s="29">
        <f t="shared" si="108"/>
        <v>0.9963643971251652</v>
      </c>
      <c r="L103" s="30">
        <f t="shared" si="118"/>
        <v>0.7735990210950703</v>
      </c>
      <c r="M103" s="29">
        <f t="shared" si="109"/>
        <v>1.0165369637377106</v>
      </c>
      <c r="N103" s="30">
        <f t="shared" si="119"/>
        <v>2.2453654908831986</v>
      </c>
      <c r="O103" s="29">
        <f t="shared" si="110"/>
        <v>1.010659525910349</v>
      </c>
      <c r="P103" s="30">
        <f t="shared" si="120"/>
        <v>1.5462088599161699</v>
      </c>
      <c r="Q103" s="30">
        <f t="shared" si="111"/>
        <v>1.0081409524132163</v>
      </c>
      <c r="R103" s="30">
        <f t="shared" si="121"/>
        <v>1.1903725166433892</v>
      </c>
      <c r="S103" s="29">
        <f t="shared" si="112"/>
        <v>1.008614181916489</v>
      </c>
      <c r="T103" s="30">
        <f t="shared" si="122"/>
        <v>1.4347809526576039</v>
      </c>
      <c r="V103" s="50">
        <f t="shared" si="113"/>
        <v>0.21700426114012328</v>
      </c>
      <c r="W103" s="50">
        <f t="shared" si="114"/>
        <v>0.28902157084622626</v>
      </c>
      <c r="X103" s="50">
        <f t="shared" si="115"/>
        <v>0.25959901048736594</v>
      </c>
      <c r="Y103" s="50">
        <f t="shared" si="116"/>
        <v>0.23437515752628452</v>
      </c>
      <c r="Z103" s="50">
        <f t="shared" si="117"/>
        <v>1</v>
      </c>
    </row>
    <row r="104" spans="2:26" ht="13.5" customHeight="1">
      <c r="B104" s="16" t="s">
        <v>140</v>
      </c>
      <c r="C104" s="10">
        <f>184450.37+235285.06</f>
        <v>419735.43</v>
      </c>
      <c r="D104" s="67">
        <v>564890.68</v>
      </c>
      <c r="E104" s="67">
        <v>503288.12</v>
      </c>
      <c r="F104" s="55">
        <f>440395.08+8282.08</f>
        <v>448677.16000000003</v>
      </c>
      <c r="G104" s="11">
        <f t="shared" si="107"/>
        <v>1936591.3900000001</v>
      </c>
      <c r="H104" s="17"/>
      <c r="J104" t="s">
        <v>140</v>
      </c>
      <c r="K104" s="29">
        <f t="shared" si="108"/>
        <v>1.018290268288467</v>
      </c>
      <c r="L104" s="30">
        <f t="shared" si="118"/>
        <v>0.7877483547385945</v>
      </c>
      <c r="M104" s="29">
        <f t="shared" si="109"/>
        <v>1.0289597287771142</v>
      </c>
      <c r="N104" s="30">
        <f t="shared" si="119"/>
        <v>2.310390666504668</v>
      </c>
      <c r="O104" s="29">
        <f t="shared" si="110"/>
        <v>1.0206524250284401</v>
      </c>
      <c r="P104" s="30">
        <f t="shared" si="120"/>
        <v>1.5781418224738983</v>
      </c>
      <c r="Q104" s="30">
        <f t="shared" si="111"/>
        <v>1.007828442559615</v>
      </c>
      <c r="R104" s="30">
        <f t="shared" si="121"/>
        <v>1.199691279514476</v>
      </c>
      <c r="S104" s="29">
        <f t="shared" si="112"/>
        <v>1.0195351940180784</v>
      </c>
      <c r="T104" s="30">
        <f t="shared" si="122"/>
        <v>1.4628096769412133</v>
      </c>
      <c r="V104" s="50">
        <f t="shared" si="113"/>
        <v>0.21673928334463988</v>
      </c>
      <c r="W104" s="50">
        <f t="shared" si="114"/>
        <v>0.29169327247706084</v>
      </c>
      <c r="X104" s="50">
        <f t="shared" si="115"/>
        <v>0.2598834852818384</v>
      </c>
      <c r="Y104" s="50">
        <f t="shared" si="116"/>
        <v>0.23168395889646087</v>
      </c>
      <c r="Z104" s="50">
        <f t="shared" si="117"/>
        <v>0.9999999999999999</v>
      </c>
    </row>
    <row r="105" spans="2:26" ht="13.5" customHeight="1">
      <c r="B105" s="16" t="s">
        <v>141</v>
      </c>
      <c r="C105" s="10">
        <f>303097.69+130792.26</f>
        <v>433889.95</v>
      </c>
      <c r="D105" s="67">
        <v>577603.09</v>
      </c>
      <c r="E105" s="67">
        <v>513064.31</v>
      </c>
      <c r="F105" s="55">
        <f>445118.86+9176.42</f>
        <v>454295.27999999997</v>
      </c>
      <c r="G105" s="11">
        <f t="shared" si="107"/>
        <v>1978852.6300000001</v>
      </c>
      <c r="H105" s="17"/>
      <c r="J105" t="s">
        <v>141</v>
      </c>
      <c r="K105" s="29">
        <f aca="true" t="shared" si="123" ref="K105:K110">C105/C104</f>
        <v>1.0337224808494248</v>
      </c>
      <c r="L105" s="30">
        <f t="shared" si="118"/>
        <v>0.8143131835454326</v>
      </c>
      <c r="M105" s="29">
        <f aca="true" t="shared" si="124" ref="M105:M110">D105/D104</f>
        <v>1.022504194970963</v>
      </c>
      <c r="N105" s="30">
        <f t="shared" si="119"/>
        <v>2.362384148522782</v>
      </c>
      <c r="O105" s="29">
        <f aca="true" t="shared" si="125" ref="O105:O110">E105/E104</f>
        <v>1.0194246389125974</v>
      </c>
      <c r="P105" s="30">
        <f t="shared" si="120"/>
        <v>1.6087966575283221</v>
      </c>
      <c r="Q105" s="30">
        <f aca="true" t="shared" si="126" ref="Q105:Q110">F105/F104</f>
        <v>1.012521519927602</v>
      </c>
      <c r="R105" s="30">
        <f t="shared" si="121"/>
        <v>1.214713237777887</v>
      </c>
      <c r="S105" s="29">
        <f aca="true" t="shared" si="127" ref="S105:S110">G105/G104</f>
        <v>1.0218224867766246</v>
      </c>
      <c r="T105" s="30">
        <f t="shared" si="122"/>
        <v>1.4947318217729815</v>
      </c>
      <c r="V105" s="50">
        <f aca="true" t="shared" si="128" ref="V105:V110">C105/G105</f>
        <v>0.21926339709289014</v>
      </c>
      <c r="W105" s="50">
        <f aca="true" t="shared" si="129" ref="W105:W110">D105/G105</f>
        <v>0.291887875450331</v>
      </c>
      <c r="X105" s="50">
        <f aca="true" t="shared" si="130" ref="X105:X110">E105/G105</f>
        <v>0.25927363272119963</v>
      </c>
      <c r="Y105" s="50">
        <f aca="true" t="shared" si="131" ref="Y105:Y110">F105/G105</f>
        <v>0.22957509473557913</v>
      </c>
      <c r="Z105" s="50">
        <f aca="true" t="shared" si="132" ref="Z105:Z110">SUM(V105:Y105)</f>
        <v>0.9999999999999999</v>
      </c>
    </row>
    <row r="106" spans="2:26" ht="13.5" customHeight="1">
      <c r="B106" s="16" t="s">
        <v>142</v>
      </c>
      <c r="C106" s="10">
        <f>436887.04+1159.32</f>
        <v>438046.36</v>
      </c>
      <c r="D106" s="67">
        <v>578891.88</v>
      </c>
      <c r="E106" s="55">
        <v>516898.6</v>
      </c>
      <c r="F106" s="55">
        <f>440832.21+10031.92</f>
        <v>450864.13</v>
      </c>
      <c r="G106" s="11">
        <f aca="true" t="shared" si="133" ref="G106:G113">SUM(C106:F106)</f>
        <v>1984700.9699999997</v>
      </c>
      <c r="H106" s="17"/>
      <c r="J106" t="s">
        <v>142</v>
      </c>
      <c r="K106" s="29">
        <f t="shared" si="123"/>
        <v>1.009579410631659</v>
      </c>
      <c r="L106" s="30">
        <f>K106*L105</f>
        <v>0.8221138239133877</v>
      </c>
      <c r="M106" s="29">
        <f t="shared" si="124"/>
        <v>1.002231272689348</v>
      </c>
      <c r="N106" s="30">
        <f>M106*N105</f>
        <v>2.36765527175513</v>
      </c>
      <c r="O106" s="29">
        <f t="shared" si="125"/>
        <v>1.0074733126535345</v>
      </c>
      <c r="P106" s="30">
        <f>O106*P105</f>
        <v>1.6208196979459926</v>
      </c>
      <c r="Q106" s="30">
        <f t="shared" si="126"/>
        <v>0.9924473131219854</v>
      </c>
      <c r="R106" s="30">
        <f>Q106*R105</f>
        <v>1.2055388890463714</v>
      </c>
      <c r="S106" s="29">
        <f t="shared" si="127"/>
        <v>1.002955419676704</v>
      </c>
      <c r="T106" s="30">
        <f>S106*T105</f>
        <v>1.499149381610445</v>
      </c>
      <c r="V106" s="50">
        <f t="shared" si="128"/>
        <v>0.22071151605271802</v>
      </c>
      <c r="W106" s="50">
        <f t="shared" si="129"/>
        <v>0.2916771285701544</v>
      </c>
      <c r="X106" s="50">
        <f t="shared" si="130"/>
        <v>0.2604415515552451</v>
      </c>
      <c r="Y106" s="50">
        <f t="shared" si="131"/>
        <v>0.2271698038218826</v>
      </c>
      <c r="Z106" s="50">
        <f t="shared" si="132"/>
        <v>1</v>
      </c>
    </row>
    <row r="107" spans="2:26" ht="13.5" customHeight="1">
      <c r="B107" s="16" t="s">
        <v>228</v>
      </c>
      <c r="C107" s="10">
        <f>408866.23+27040.71</f>
        <v>435906.94</v>
      </c>
      <c r="D107" s="67">
        <v>592647.86</v>
      </c>
      <c r="E107" s="55">
        <v>524572.77</v>
      </c>
      <c r="F107" s="55">
        <f>440325.55+10435.43</f>
        <v>450760.98</v>
      </c>
      <c r="G107" s="11">
        <f t="shared" si="133"/>
        <v>2003888.55</v>
      </c>
      <c r="H107" s="17"/>
      <c r="J107" t="s">
        <v>143</v>
      </c>
      <c r="K107" s="29">
        <f t="shared" si="123"/>
        <v>0.9951159963981895</v>
      </c>
      <c r="L107" s="30">
        <f>K107*L106</f>
        <v>0.8180986170362965</v>
      </c>
      <c r="M107" s="29">
        <f t="shared" si="124"/>
        <v>1.0237626065855336</v>
      </c>
      <c r="N107" s="30">
        <f>M107*N106</f>
        <v>2.423916932508012</v>
      </c>
      <c r="O107" s="29">
        <f t="shared" si="125"/>
        <v>1.014846567585983</v>
      </c>
      <c r="P107" s="30">
        <f>O107*P106</f>
        <v>1.6448833071362403</v>
      </c>
      <c r="Q107" s="30">
        <f t="shared" si="126"/>
        <v>0.9997712171070251</v>
      </c>
      <c r="R107" s="30">
        <f>Q107*R106</f>
        <v>1.2052630823717416</v>
      </c>
      <c r="S107" s="29">
        <f t="shared" si="127"/>
        <v>1.0096677435492967</v>
      </c>
      <c r="T107" s="30">
        <f>S107*T106</f>
        <v>1.5136427733739415</v>
      </c>
      <c r="V107" s="50">
        <f t="shared" si="128"/>
        <v>0.217530530827176</v>
      </c>
      <c r="W107" s="50">
        <f t="shared" si="129"/>
        <v>0.29574891278259957</v>
      </c>
      <c r="X107" s="50">
        <f t="shared" si="130"/>
        <v>0.26177741771117957</v>
      </c>
      <c r="Y107" s="50">
        <f t="shared" si="131"/>
        <v>0.22494313867904478</v>
      </c>
      <c r="Z107" s="50">
        <f t="shared" si="132"/>
        <v>1</v>
      </c>
    </row>
    <row r="108" spans="2:26" ht="13.5" customHeight="1">
      <c r="B108" s="16" t="s">
        <v>144</v>
      </c>
      <c r="C108" s="10">
        <f>335791.16+103790.99</f>
        <v>439582.14999999997</v>
      </c>
      <c r="D108" s="67">
        <v>594185.2</v>
      </c>
      <c r="E108" s="55">
        <v>522783.19</v>
      </c>
      <c r="F108" s="55">
        <f>446534.71+11360.69</f>
        <v>457895.4</v>
      </c>
      <c r="G108" s="11">
        <f t="shared" si="133"/>
        <v>2014445.94</v>
      </c>
      <c r="H108" s="17"/>
      <c r="J108" t="s">
        <v>144</v>
      </c>
      <c r="K108" s="29">
        <f t="shared" si="123"/>
        <v>1.0084311802881596</v>
      </c>
      <c r="L108" s="30">
        <f>K108*L107</f>
        <v>0.8249961539700236</v>
      </c>
      <c r="M108" s="29">
        <f t="shared" si="124"/>
        <v>1.0025940193220304</v>
      </c>
      <c r="N108" s="30">
        <f>M108*N107</f>
        <v>2.4302046198659344</v>
      </c>
      <c r="O108" s="29">
        <f t="shared" si="125"/>
        <v>0.9965885000092551</v>
      </c>
      <c r="P108" s="30">
        <f>O108*P107</f>
        <v>1.6392717877491687</v>
      </c>
      <c r="Q108" s="30">
        <f t="shared" si="126"/>
        <v>1.0158275013067901</v>
      </c>
      <c r="R108" s="30">
        <f>Q108*R107</f>
        <v>1.2243393853830062</v>
      </c>
      <c r="S108" s="29">
        <f t="shared" si="127"/>
        <v>1.0052684516811077</v>
      </c>
      <c r="T108" s="30">
        <f>S108*T107</f>
        <v>1.5216173271879199</v>
      </c>
      <c r="V108" s="50">
        <f t="shared" si="128"/>
        <v>0.21821491521385775</v>
      </c>
      <c r="W108" s="50">
        <f t="shared" si="129"/>
        <v>0.29496209761776976</v>
      </c>
      <c r="X108" s="50">
        <f t="shared" si="130"/>
        <v>0.2595171106949636</v>
      </c>
      <c r="Y108" s="50">
        <f t="shared" si="131"/>
        <v>0.22730587647340889</v>
      </c>
      <c r="Z108" s="50">
        <f t="shared" si="132"/>
        <v>1</v>
      </c>
    </row>
    <row r="109" spans="2:26" ht="13.5" customHeight="1">
      <c r="B109" s="16" t="s">
        <v>145</v>
      </c>
      <c r="C109" s="72">
        <f>379875.14-45955+110574.22</f>
        <v>444494.36</v>
      </c>
      <c r="D109" s="67">
        <v>594590.82</v>
      </c>
      <c r="E109" s="55">
        <f>530351.78-81.3</f>
        <v>530270.48</v>
      </c>
      <c r="F109" s="55">
        <f>400730.04+45955+12571.46</f>
        <v>459256.5</v>
      </c>
      <c r="G109" s="11">
        <f t="shared" si="133"/>
        <v>2028612.16</v>
      </c>
      <c r="H109" s="17"/>
      <c r="J109" t="s">
        <v>145</v>
      </c>
      <c r="K109" s="29">
        <f t="shared" si="123"/>
        <v>1.0111747258163235</v>
      </c>
      <c r="L109" s="30">
        <f>K109*L108</f>
        <v>0.83421525979016</v>
      </c>
      <c r="M109" s="29">
        <f t="shared" si="124"/>
        <v>1.0006826491134413</v>
      </c>
      <c r="N109" s="30">
        <f>M109*N108</f>
        <v>2.431863596895167</v>
      </c>
      <c r="O109" s="29">
        <f t="shared" si="125"/>
        <v>1.0143219792510925</v>
      </c>
      <c r="P109" s="30">
        <f>O109*P108</f>
        <v>1.6627494042802136</v>
      </c>
      <c r="Q109" s="30">
        <f t="shared" si="126"/>
        <v>1.0029725129363605</v>
      </c>
      <c r="R109" s="30">
        <f>Q109*R108</f>
        <v>1.227978750044553</v>
      </c>
      <c r="S109" s="29">
        <f t="shared" si="127"/>
        <v>1.0070323157939896</v>
      </c>
      <c r="T109" s="30">
        <f>S109*T108</f>
        <v>1.5323178207503116</v>
      </c>
      <c r="V109" s="50">
        <f t="shared" si="128"/>
        <v>0.2191125384952834</v>
      </c>
      <c r="W109" s="50">
        <f t="shared" si="129"/>
        <v>0.29310226554098934</v>
      </c>
      <c r="X109" s="50">
        <f t="shared" si="130"/>
        <v>0.2613956923140991</v>
      </c>
      <c r="Y109" s="50">
        <f t="shared" si="131"/>
        <v>0.22638950364962815</v>
      </c>
      <c r="Z109" s="50">
        <f t="shared" si="132"/>
        <v>1</v>
      </c>
    </row>
    <row r="110" spans="2:26" ht="13.5" customHeight="1">
      <c r="B110" s="16" t="s">
        <v>147</v>
      </c>
      <c r="C110" s="67">
        <f>453498.42-45982.3+46498.84</f>
        <v>454014.95999999996</v>
      </c>
      <c r="D110" s="67">
        <v>593806.9</v>
      </c>
      <c r="E110" s="67">
        <v>547017.19</v>
      </c>
      <c r="F110" s="55">
        <f>403054.53+45982.3+12913.54</f>
        <v>461950.37</v>
      </c>
      <c r="G110" s="11">
        <f t="shared" si="133"/>
        <v>2056789.42</v>
      </c>
      <c r="H110" s="17"/>
      <c r="J110" t="s">
        <v>147</v>
      </c>
      <c r="K110" s="29">
        <f t="shared" si="123"/>
        <v>1.0214189444383501</v>
      </c>
      <c r="L110" s="30">
        <f>K110*L109</f>
        <v>0.8520832700892292</v>
      </c>
      <c r="M110" s="29">
        <f t="shared" si="124"/>
        <v>0.9986815807213439</v>
      </c>
      <c r="N110" s="30">
        <f>M110*N109</f>
        <v>2.4286573810459586</v>
      </c>
      <c r="O110" s="29">
        <f t="shared" si="125"/>
        <v>1.0315814487730866</v>
      </c>
      <c r="P110" s="30">
        <f>O110*P109</f>
        <v>1.7152614394139694</v>
      </c>
      <c r="Q110" s="30">
        <f t="shared" si="126"/>
        <v>1.005865719919043</v>
      </c>
      <c r="R110" s="30">
        <f>Q110*R109</f>
        <v>1.2351817294588507</v>
      </c>
      <c r="S110" s="29">
        <f t="shared" si="127"/>
        <v>1.0138899196976123</v>
      </c>
      <c r="T110" s="30">
        <f>S110*T109</f>
        <v>1.5536015922317539</v>
      </c>
      <c r="V110" s="50">
        <f t="shared" si="128"/>
        <v>0.22073964188322204</v>
      </c>
      <c r="W110" s="50">
        <f t="shared" si="129"/>
        <v>0.28870573439647507</v>
      </c>
      <c r="X110" s="50">
        <f t="shared" si="130"/>
        <v>0.26595682799651893</v>
      </c>
      <c r="Y110" s="50">
        <f t="shared" si="131"/>
        <v>0.2245977957237839</v>
      </c>
      <c r="Z110" s="50">
        <f t="shared" si="132"/>
        <v>1</v>
      </c>
    </row>
    <row r="111" spans="2:26" ht="13.5" customHeight="1">
      <c r="B111" s="24" t="s">
        <v>148</v>
      </c>
      <c r="C111" s="25">
        <v>-22225</v>
      </c>
      <c r="D111" s="25">
        <v>-29730</v>
      </c>
      <c r="E111" s="25">
        <v>-26515</v>
      </c>
      <c r="F111" s="25">
        <v>-22965</v>
      </c>
      <c r="G111" s="26">
        <f t="shared" si="133"/>
        <v>-101435</v>
      </c>
      <c r="H111" s="17"/>
      <c r="J111" t="s">
        <v>148</v>
      </c>
      <c r="K111" s="29"/>
      <c r="L111" s="30"/>
      <c r="M111" s="29"/>
      <c r="N111" s="30"/>
      <c r="O111" s="29"/>
      <c r="P111" s="30"/>
      <c r="Q111" s="30"/>
      <c r="R111" s="30"/>
      <c r="S111" s="29"/>
      <c r="T111" s="30"/>
      <c r="V111" s="50"/>
      <c r="W111" s="50"/>
      <c r="X111" s="50"/>
      <c r="Y111" s="50"/>
      <c r="Z111" s="50"/>
    </row>
    <row r="112" spans="2:26" ht="13.5" customHeight="1">
      <c r="B112" s="24" t="s">
        <v>149</v>
      </c>
      <c r="C112" s="25">
        <f>SUM(C110:C111)</f>
        <v>431789.95999999996</v>
      </c>
      <c r="D112" s="25">
        <f>SUM(D110:D111)</f>
        <v>564076.9</v>
      </c>
      <c r="E112" s="25">
        <f>SUM(E110:E111)</f>
        <v>520502.18999999994</v>
      </c>
      <c r="F112" s="25">
        <f>SUM(F110:F111)</f>
        <v>438985.37</v>
      </c>
      <c r="G112" s="26">
        <f t="shared" si="133"/>
        <v>1955354.42</v>
      </c>
      <c r="H112" s="17"/>
      <c r="J112" t="s">
        <v>149</v>
      </c>
      <c r="K112" s="29"/>
      <c r="L112" s="30"/>
      <c r="M112" s="29"/>
      <c r="N112" s="30"/>
      <c r="O112" s="29"/>
      <c r="P112" s="30"/>
      <c r="Q112" s="30"/>
      <c r="R112" s="30"/>
      <c r="S112" s="29"/>
      <c r="T112" s="30"/>
      <c r="V112" s="50"/>
      <c r="W112" s="50"/>
      <c r="X112" s="50"/>
      <c r="Y112" s="50"/>
      <c r="Z112" s="50"/>
    </row>
    <row r="113" spans="2:26" ht="13.5" customHeight="1">
      <c r="B113" s="16" t="s">
        <v>150</v>
      </c>
      <c r="C113" s="67">
        <f>426608.73+24572.05</f>
        <v>451180.77999999997</v>
      </c>
      <c r="D113" s="67">
        <v>577250.04</v>
      </c>
      <c r="E113" s="67">
        <v>540576.15</v>
      </c>
      <c r="F113" s="55">
        <f>435669.78+915.29</f>
        <v>436585.07</v>
      </c>
      <c r="G113" s="11">
        <f t="shared" si="133"/>
        <v>2005592.0400000003</v>
      </c>
      <c r="H113" s="17"/>
      <c r="J113" t="s">
        <v>150</v>
      </c>
      <c r="K113" s="29">
        <f>C113/C112</f>
        <v>1.0449079918393656</v>
      </c>
      <c r="L113" s="30">
        <f>K113*L110</f>
        <v>0.8903486186288563</v>
      </c>
      <c r="M113" s="29">
        <f>D113/D112</f>
        <v>1.023353447021142</v>
      </c>
      <c r="N113" s="30">
        <f>M113*N110</f>
        <v>2.485374902526721</v>
      </c>
      <c r="O113" s="29">
        <f>E113/E112</f>
        <v>1.0385665236105925</v>
      </c>
      <c r="P113" s="30">
        <f>O113*P110</f>
        <v>1.781413110215467</v>
      </c>
      <c r="Q113" s="30">
        <f>F113/F112</f>
        <v>0.994532164021776</v>
      </c>
      <c r="R113" s="30">
        <f>Q113*R110</f>
        <v>1.2284279583588706</v>
      </c>
      <c r="S113" s="29">
        <f>G113/G112</f>
        <v>1.0256923345896547</v>
      </c>
      <c r="T113" s="30">
        <f>S113*T110</f>
        <v>1.5935172441583925</v>
      </c>
      <c r="V113" s="50">
        <f>C113/G113</f>
        <v>0.2249613934447007</v>
      </c>
      <c r="W113" s="50">
        <f>D113/G113</f>
        <v>0.2878202687721078</v>
      </c>
      <c r="X113" s="50">
        <f>E113/G113</f>
        <v>0.2695344512835222</v>
      </c>
      <c r="Y113" s="50">
        <f>F113/G113</f>
        <v>0.21768388649966916</v>
      </c>
      <c r="Z113" s="50">
        <f>SUM(V113:Y113)</f>
        <v>0.9999999999999999</v>
      </c>
    </row>
    <row r="114" spans="2:26" ht="13.5" customHeight="1">
      <c r="B114" s="16" t="s">
        <v>151</v>
      </c>
      <c r="C114" s="67">
        <f>424862.12+22539.79</f>
        <v>447401.91</v>
      </c>
      <c r="D114" s="67">
        <v>581767.11</v>
      </c>
      <c r="E114" s="67">
        <v>536506.06</v>
      </c>
      <c r="F114" s="55">
        <f>433687.31+1736</f>
        <v>435423.31</v>
      </c>
      <c r="G114" s="11">
        <f aca="true" t="shared" si="134" ref="G114:G123">SUM(C114:F114)</f>
        <v>2001098.3900000001</v>
      </c>
      <c r="H114" s="17"/>
      <c r="J114" t="s">
        <v>151</v>
      </c>
      <c r="K114" s="29">
        <f>C114/C113</f>
        <v>0.9916244880821387</v>
      </c>
      <c r="L114" s="30">
        <f aca="true" t="shared" si="135" ref="L114:L124">K114*L113</f>
        <v>0.882891493162479</v>
      </c>
      <c r="M114" s="29">
        <f>D114/D113</f>
        <v>1.0078251532039737</v>
      </c>
      <c r="N114" s="30">
        <f aca="true" t="shared" si="136" ref="N114:N124">M114*N113</f>
        <v>2.504823341908304</v>
      </c>
      <c r="O114" s="29">
        <f>E114/E113</f>
        <v>0.9924708295029295</v>
      </c>
      <c r="P114" s="30">
        <f aca="true" t="shared" si="137" ref="P114:P124">O114*P113</f>
        <v>1.7680005471829383</v>
      </c>
      <c r="Q114" s="30">
        <f>F114/F113</f>
        <v>0.9973389836716129</v>
      </c>
      <c r="R114" s="30">
        <f aca="true" t="shared" si="138" ref="R114:R124">Q114*R113</f>
        <v>1.2251590915034305</v>
      </c>
      <c r="S114" s="29">
        <f>G114/G113</f>
        <v>0.9977594396515455</v>
      </c>
      <c r="T114" s="30">
        <f aca="true" t="shared" si="139" ref="T114:T124">S114*T113</f>
        <v>1.5899468726065527</v>
      </c>
      <c r="V114" s="50">
        <f>C114/G114</f>
        <v>0.22357816698858068</v>
      </c>
      <c r="W114" s="50">
        <f>D114/G114</f>
        <v>0.29072389089274114</v>
      </c>
      <c r="X114" s="50">
        <f>E114/G114</f>
        <v>0.268105787641956</v>
      </c>
      <c r="Y114" s="50">
        <f>F114/G114</f>
        <v>0.21759215447672214</v>
      </c>
      <c r="Z114" s="50">
        <f>SUM(V114:Y114)</f>
        <v>0.9999999999999998</v>
      </c>
    </row>
    <row r="115" spans="2:26" ht="13.5" customHeight="1">
      <c r="B115" s="16" t="s">
        <v>152</v>
      </c>
      <c r="C115" s="67">
        <f>407102.83+27857.53</f>
        <v>434960.36</v>
      </c>
      <c r="D115" s="67">
        <v>560884.34</v>
      </c>
      <c r="E115" s="67">
        <v>523971.36</v>
      </c>
      <c r="F115" s="55">
        <f>434009.17+2026.44</f>
        <v>436035.61</v>
      </c>
      <c r="G115" s="11">
        <f t="shared" si="134"/>
        <v>1955851.67</v>
      </c>
      <c r="H115" s="17"/>
      <c r="J115" t="s">
        <v>152</v>
      </c>
      <c r="K115" s="29">
        <f>C115/C114</f>
        <v>0.9721915581451139</v>
      </c>
      <c r="L115" s="30">
        <f t="shared" si="135"/>
        <v>0.8583396564106966</v>
      </c>
      <c r="M115" s="29">
        <f>D115/D114</f>
        <v>0.9641045881744672</v>
      </c>
      <c r="N115" s="30">
        <f t="shared" si="136"/>
        <v>2.414911676500298</v>
      </c>
      <c r="O115" s="29">
        <f>E115/E114</f>
        <v>0.9766364241999428</v>
      </c>
      <c r="P115" s="30">
        <f t="shared" si="137"/>
        <v>1.726693732384287</v>
      </c>
      <c r="Q115" s="30">
        <f>F115/F114</f>
        <v>1.0014062177791998</v>
      </c>
      <c r="R115" s="30">
        <f t="shared" si="138"/>
        <v>1.2268819320002509</v>
      </c>
      <c r="S115" s="29">
        <f>G115/G114</f>
        <v>0.9773890578163924</v>
      </c>
      <c r="T115" s="30">
        <f t="shared" si="139"/>
        <v>1.553996675795038</v>
      </c>
      <c r="V115" s="50">
        <f>C115/G115</f>
        <v>0.22238923670525587</v>
      </c>
      <c r="W115" s="50">
        <f>D115/G115</f>
        <v>0.2867724319809999</v>
      </c>
      <c r="X115" s="50">
        <f>E115/G115</f>
        <v>0.2678993341044109</v>
      </c>
      <c r="Y115" s="50">
        <f>F115/G115</f>
        <v>0.22293899720933336</v>
      </c>
      <c r="Z115" s="50">
        <f>SUM(V115:Y115)</f>
        <v>1</v>
      </c>
    </row>
    <row r="116" spans="2:26" ht="13.5" customHeight="1">
      <c r="B116" s="16" t="s">
        <v>153</v>
      </c>
      <c r="C116" s="67">
        <f>307407.39+132869.27</f>
        <v>440276.66000000003</v>
      </c>
      <c r="D116" s="67">
        <v>542253.25</v>
      </c>
      <c r="E116" s="67">
        <v>530739.17</v>
      </c>
      <c r="F116" s="67">
        <f>438728.35+2884.01</f>
        <v>441612.36</v>
      </c>
      <c r="G116" s="11">
        <f t="shared" si="134"/>
        <v>1954881.44</v>
      </c>
      <c r="H116" s="17"/>
      <c r="J116" t="s">
        <v>153</v>
      </c>
      <c r="K116" s="29">
        <f>C116/C115</f>
        <v>1.01222249310259</v>
      </c>
      <c r="L116" s="30">
        <f t="shared" si="135"/>
        <v>0.868830706940856</v>
      </c>
      <c r="M116" s="29">
        <f>D116/D115</f>
        <v>0.9667826525518612</v>
      </c>
      <c r="N116" s="30">
        <f t="shared" si="136"/>
        <v>2.3346947162854206</v>
      </c>
      <c r="O116" s="29">
        <f>E116/E115</f>
        <v>1.0129163739025737</v>
      </c>
      <c r="P116" s="30">
        <f t="shared" si="137"/>
        <v>1.748996354246993</v>
      </c>
      <c r="Q116" s="30">
        <f>F116/F115</f>
        <v>1.0127896664219695</v>
      </c>
      <c r="R116" s="30">
        <f t="shared" si="138"/>
        <v>1.2425733426496757</v>
      </c>
      <c r="S116" s="29">
        <f>G116/G115</f>
        <v>0.9995039347743584</v>
      </c>
      <c r="T116" s="30">
        <f t="shared" si="139"/>
        <v>1.5532257920834136</v>
      </c>
      <c r="U116" s="61">
        <f>T116/T102-1</f>
        <v>0.09187786380354734</v>
      </c>
      <c r="V116" s="50">
        <f aca="true" t="shared" si="140" ref="V116:V124">C116/G116</f>
        <v>0.2252191109860862</v>
      </c>
      <c r="W116" s="50">
        <f aca="true" t="shared" si="141" ref="W116:W124">D116/G116</f>
        <v>0.2773842131316158</v>
      </c>
      <c r="X116" s="50">
        <f aca="true" t="shared" si="142" ref="X116:X124">E116/G116</f>
        <v>0.27149430095361693</v>
      </c>
      <c r="Y116" s="50">
        <f aca="true" t="shared" si="143" ref="Y116:Y124">F116/G116</f>
        <v>0.2259023749286811</v>
      </c>
      <c r="Z116" s="50">
        <f aca="true" t="shared" si="144" ref="Z116:Z124">SUM(V116:Y116)</f>
        <v>1</v>
      </c>
    </row>
    <row r="117" spans="2:26" ht="13.5" customHeight="1">
      <c r="B117" s="16" t="s">
        <v>154</v>
      </c>
      <c r="C117" s="55">
        <v>454662.57</v>
      </c>
      <c r="D117" s="55">
        <v>564786.05</v>
      </c>
      <c r="E117" s="55">
        <v>537413.56</v>
      </c>
      <c r="F117" s="55">
        <v>446356.45</v>
      </c>
      <c r="G117" s="11">
        <f>SUM(C117:F117)</f>
        <v>2003218.6300000001</v>
      </c>
      <c r="H117" s="17"/>
      <c r="J117" t="s">
        <v>154</v>
      </c>
      <c r="K117" s="29">
        <f>C117/C116</f>
        <v>1.0326747050366012</v>
      </c>
      <c r="L117" s="30">
        <f t="shared" si="135"/>
        <v>0.8972194940168902</v>
      </c>
      <c r="M117" s="29">
        <f>D117/D116</f>
        <v>1.0415540155822027</v>
      </c>
      <c r="N117" s="30">
        <f t="shared" si="136"/>
        <v>2.4317106569056315</v>
      </c>
      <c r="O117" s="29">
        <f>E117/E116</f>
        <v>1.0125756499185843</v>
      </c>
      <c r="P117" s="30">
        <f t="shared" si="137"/>
        <v>1.7709911201068835</v>
      </c>
      <c r="Q117" s="29">
        <f>F117/F116</f>
        <v>1.0107426567499154</v>
      </c>
      <c r="R117" s="30">
        <f t="shared" si="138"/>
        <v>1.2559218815563562</v>
      </c>
      <c r="S117" s="29">
        <f>G117/G116</f>
        <v>1.0247264048913372</v>
      </c>
      <c r="T117" s="30">
        <f t="shared" si="139"/>
        <v>1.591631481906136</v>
      </c>
      <c r="V117" s="50">
        <f t="shared" si="140"/>
        <v>0.2269660251712016</v>
      </c>
      <c r="W117" s="50">
        <f t="shared" si="141"/>
        <v>0.2819392958620797</v>
      </c>
      <c r="X117" s="50">
        <f t="shared" si="142"/>
        <v>0.26827504095246957</v>
      </c>
      <c r="Y117" s="50">
        <f t="shared" si="143"/>
        <v>0.2228196380142491</v>
      </c>
      <c r="Z117" s="50">
        <f t="shared" si="144"/>
        <v>1</v>
      </c>
    </row>
    <row r="118" spans="2:26" ht="13.5" customHeight="1">
      <c r="B118" s="16" t="s">
        <v>156</v>
      </c>
      <c r="C118" s="67">
        <f>431270.15+58629.22</f>
        <v>489899.37</v>
      </c>
      <c r="D118" s="67">
        <v>574569.47</v>
      </c>
      <c r="E118" s="67">
        <v>556122.09</v>
      </c>
      <c r="F118" s="67">
        <f>446065+4075.87</f>
        <v>450140.87</v>
      </c>
      <c r="G118" s="11">
        <f t="shared" si="134"/>
        <v>2070731.7999999998</v>
      </c>
      <c r="H118" s="17"/>
      <c r="J118" t="s">
        <v>156</v>
      </c>
      <c r="K118" s="29">
        <f aca="true" t="shared" si="145" ref="K118:K129">C118/C117</f>
        <v>1.0775009915595206</v>
      </c>
      <c r="L118" s="30">
        <f t="shared" si="135"/>
        <v>0.9667548944497305</v>
      </c>
      <c r="M118" s="29">
        <f aca="true" t="shared" si="146" ref="M118:M129">D118/D117</f>
        <v>1.0173223471082544</v>
      </c>
      <c r="N118" s="30">
        <f t="shared" si="136"/>
        <v>2.4738335929713924</v>
      </c>
      <c r="O118" s="29">
        <f aca="true" t="shared" si="147" ref="O118:O129">E118/E117</f>
        <v>1.034812165885803</v>
      </c>
      <c r="P118" s="30">
        <f t="shared" si="137"/>
        <v>1.8326431567623283</v>
      </c>
      <c r="Q118" s="29">
        <f aca="true" t="shared" si="148" ref="Q118:Q129">F118/F117</f>
        <v>1.0084784705138685</v>
      </c>
      <c r="R118" s="30">
        <f t="shared" si="138"/>
        <v>1.2665701781968541</v>
      </c>
      <c r="S118" s="29">
        <f aca="true" t="shared" si="149" ref="S118:S129">G118/G117</f>
        <v>1.0337023473069435</v>
      </c>
      <c r="T118" s="30">
        <f t="shared" si="139"/>
        <v>1.6452731988940017</v>
      </c>
      <c r="V118" s="50">
        <f t="shared" si="140"/>
        <v>0.2365827240398781</v>
      </c>
      <c r="W118" s="50">
        <f t="shared" si="141"/>
        <v>0.2774716986526213</v>
      </c>
      <c r="X118" s="50">
        <f t="shared" si="142"/>
        <v>0.2685630703116647</v>
      </c>
      <c r="Y118" s="50">
        <f t="shared" si="143"/>
        <v>0.21738250699583597</v>
      </c>
      <c r="Z118" s="50">
        <f t="shared" si="144"/>
        <v>1</v>
      </c>
    </row>
    <row r="119" spans="2:26" ht="13.5" customHeight="1">
      <c r="B119" s="16" t="s">
        <v>157</v>
      </c>
      <c r="C119" s="67">
        <v>479779.82</v>
      </c>
      <c r="D119" s="67">
        <v>514264.14</v>
      </c>
      <c r="E119" s="67">
        <v>545119.11</v>
      </c>
      <c r="F119" s="67">
        <v>456993.48</v>
      </c>
      <c r="G119" s="11">
        <f t="shared" si="134"/>
        <v>1996156.5499999998</v>
      </c>
      <c r="H119" s="17"/>
      <c r="J119" t="s">
        <v>157</v>
      </c>
      <c r="K119" s="29">
        <f t="shared" si="145"/>
        <v>0.9793436149958715</v>
      </c>
      <c r="L119" s="30">
        <f t="shared" si="135"/>
        <v>0.9467852331453512</v>
      </c>
      <c r="M119" s="29">
        <f t="shared" si="146"/>
        <v>0.8950425785762687</v>
      </c>
      <c r="N119" s="30">
        <f t="shared" si="136"/>
        <v>2.2141863980217105</v>
      </c>
      <c r="O119" s="29">
        <f t="shared" si="147"/>
        <v>0.980214812182699</v>
      </c>
      <c r="P119" s="30">
        <f t="shared" si="137"/>
        <v>1.7963839677036941</v>
      </c>
      <c r="Q119" s="29">
        <f t="shared" si="148"/>
        <v>1.0152232566662964</v>
      </c>
      <c r="R119" s="30">
        <f t="shared" si="138"/>
        <v>1.2858515011054217</v>
      </c>
      <c r="S119" s="29">
        <f t="shared" si="149"/>
        <v>0.9639860410701183</v>
      </c>
      <c r="T119" s="30">
        <f t="shared" si="139"/>
        <v>1.586020397480598</v>
      </c>
      <c r="V119" s="50">
        <f t="shared" si="140"/>
        <v>0.24035180006297605</v>
      </c>
      <c r="W119" s="50">
        <f t="shared" si="141"/>
        <v>0.25762715855126694</v>
      </c>
      <c r="X119" s="50">
        <f t="shared" si="142"/>
        <v>0.27308434801869624</v>
      </c>
      <c r="Y119" s="50">
        <f t="shared" si="143"/>
        <v>0.22893669336706082</v>
      </c>
      <c r="Z119" s="50">
        <f t="shared" si="144"/>
        <v>1.0000000000000002</v>
      </c>
    </row>
    <row r="120" spans="2:26" ht="13.5" customHeight="1">
      <c r="B120" s="16" t="s">
        <v>158</v>
      </c>
      <c r="C120" s="10">
        <f>29161.05+462112.73</f>
        <v>491273.77999999997</v>
      </c>
      <c r="D120" s="67">
        <v>496315.84</v>
      </c>
      <c r="E120" s="67">
        <v>546138.82</v>
      </c>
      <c r="F120" s="55">
        <f>449197.65+6928.62</f>
        <v>456126.27</v>
      </c>
      <c r="G120" s="68">
        <f t="shared" si="134"/>
        <v>1989854.71</v>
      </c>
      <c r="H120" s="17"/>
      <c r="J120" t="s">
        <v>158</v>
      </c>
      <c r="K120" s="29">
        <f t="shared" si="145"/>
        <v>1.0239567391558901</v>
      </c>
      <c r="L120" s="30">
        <f t="shared" si="135"/>
        <v>0.969467120012463</v>
      </c>
      <c r="M120" s="29">
        <f t="shared" si="146"/>
        <v>0.9650990636834993</v>
      </c>
      <c r="N120" s="30">
        <f t="shared" si="136"/>
        <v>2.1369092195514927</v>
      </c>
      <c r="O120" s="29">
        <f t="shared" si="147"/>
        <v>1.001870618698361</v>
      </c>
      <c r="P120" s="30">
        <f t="shared" si="137"/>
        <v>1.7997443171431167</v>
      </c>
      <c r="Q120" s="29">
        <f t="shared" si="148"/>
        <v>0.9981023580467714</v>
      </c>
      <c r="R120" s="30">
        <f t="shared" si="138"/>
        <v>1.283411415351302</v>
      </c>
      <c r="S120" s="29">
        <f t="shared" si="149"/>
        <v>0.9968430131394255</v>
      </c>
      <c r="T120" s="30">
        <f t="shared" si="139"/>
        <v>1.5810133519251486</v>
      </c>
      <c r="V120" s="50">
        <f t="shared" si="140"/>
        <v>0.24688927162928392</v>
      </c>
      <c r="W120" s="50">
        <f t="shared" si="141"/>
        <v>0.24942315512070729</v>
      </c>
      <c r="X120" s="50">
        <f t="shared" si="142"/>
        <v>0.274461656549789</v>
      </c>
      <c r="Y120" s="50">
        <f t="shared" si="143"/>
        <v>0.2292259167002198</v>
      </c>
      <c r="Z120" s="50">
        <f t="shared" si="144"/>
        <v>1</v>
      </c>
    </row>
    <row r="121" spans="2:26" ht="13.5" customHeight="1">
      <c r="B121" s="16" t="s">
        <v>229</v>
      </c>
      <c r="C121" s="10">
        <f>342746.34+92117.08</f>
        <v>434863.42000000004</v>
      </c>
      <c r="D121" s="67">
        <v>480791.57</v>
      </c>
      <c r="E121" s="67">
        <v>532722.8</v>
      </c>
      <c r="F121" s="55">
        <f>459968.48+7066.93</f>
        <v>467035.41</v>
      </c>
      <c r="G121" s="68">
        <f t="shared" si="134"/>
        <v>1915413.2</v>
      </c>
      <c r="H121" s="17"/>
      <c r="J121" t="s">
        <v>159</v>
      </c>
      <c r="K121" s="29">
        <f t="shared" si="145"/>
        <v>0.8851753089692678</v>
      </c>
      <c r="L121" s="30">
        <f t="shared" si="135"/>
        <v>0.8581483574925782</v>
      </c>
      <c r="M121" s="29">
        <f t="shared" si="146"/>
        <v>0.9687209862171636</v>
      </c>
      <c r="N121" s="30">
        <f t="shared" si="136"/>
        <v>2.0700688066204713</v>
      </c>
      <c r="O121" s="29">
        <f t="shared" si="147"/>
        <v>0.9754347804831015</v>
      </c>
      <c r="P121" s="30">
        <f t="shared" si="137"/>
        <v>1.7555332029182054</v>
      </c>
      <c r="Q121" s="29">
        <f t="shared" si="148"/>
        <v>1.023916929844887</v>
      </c>
      <c r="R121" s="30">
        <f t="shared" si="138"/>
        <v>1.3141066761343863</v>
      </c>
      <c r="S121" s="29">
        <f t="shared" si="149"/>
        <v>0.9625894746858177</v>
      </c>
      <c r="T121" s="30">
        <f t="shared" si="139"/>
        <v>1.5218668119008927</v>
      </c>
      <c r="V121" s="50">
        <f t="shared" si="140"/>
        <v>0.22703373872540925</v>
      </c>
      <c r="W121" s="50">
        <f t="shared" si="141"/>
        <v>0.2510119330909905</v>
      </c>
      <c r="X121" s="50">
        <f t="shared" si="142"/>
        <v>0.2781242188369591</v>
      </c>
      <c r="Y121" s="50">
        <f t="shared" si="143"/>
        <v>0.24383010934664123</v>
      </c>
      <c r="Z121" s="50">
        <f t="shared" si="144"/>
        <v>1.0000000000000002</v>
      </c>
    </row>
    <row r="122" spans="2:26" ht="13.5" customHeight="1">
      <c r="B122" s="16" t="s">
        <v>160</v>
      </c>
      <c r="C122" s="10">
        <f>321059.35+96162.85</f>
        <v>417222.19999999995</v>
      </c>
      <c r="D122" s="67">
        <v>477211.68</v>
      </c>
      <c r="E122" s="67">
        <v>522556.82</v>
      </c>
      <c r="F122" s="55">
        <f>461372.22+8029.63</f>
        <v>469401.85</v>
      </c>
      <c r="G122" s="68">
        <f t="shared" si="134"/>
        <v>1886392.5499999998</v>
      </c>
      <c r="H122" s="17"/>
      <c r="J122" t="s">
        <v>160</v>
      </c>
      <c r="K122" s="29">
        <f t="shared" si="145"/>
        <v>0.9594327340754482</v>
      </c>
      <c r="L122" s="30">
        <f t="shared" si="135"/>
        <v>0.8233356248714594</v>
      </c>
      <c r="M122" s="29">
        <f t="shared" si="146"/>
        <v>0.9925541747747365</v>
      </c>
      <c r="N122" s="30">
        <f t="shared" si="136"/>
        <v>2.0546554360821054</v>
      </c>
      <c r="O122" s="29">
        <f t="shared" si="147"/>
        <v>0.9809169421695485</v>
      </c>
      <c r="P122" s="30">
        <f t="shared" si="137"/>
        <v>1.7220322612836394</v>
      </c>
      <c r="Q122" s="29">
        <f t="shared" si="148"/>
        <v>1.0050669391427944</v>
      </c>
      <c r="R122" s="30">
        <f t="shared" si="138"/>
        <v>1.320765174689499</v>
      </c>
      <c r="S122" s="29">
        <f t="shared" si="149"/>
        <v>0.9848488827371555</v>
      </c>
      <c r="T122" s="30">
        <f t="shared" si="139"/>
        <v>1.498808829375351</v>
      </c>
      <c r="V122" s="50">
        <f t="shared" si="140"/>
        <v>0.22117464363395625</v>
      </c>
      <c r="W122" s="50">
        <f t="shared" si="141"/>
        <v>0.25297580824309346</v>
      </c>
      <c r="X122" s="50">
        <f t="shared" si="142"/>
        <v>0.27701382726516816</v>
      </c>
      <c r="Y122" s="50">
        <f t="shared" si="143"/>
        <v>0.24883572085778224</v>
      </c>
      <c r="Z122" s="50">
        <f t="shared" si="144"/>
        <v>1.0000000000000002</v>
      </c>
    </row>
    <row r="123" spans="2:26" ht="13.5" customHeight="1">
      <c r="B123" s="16" t="s">
        <v>161</v>
      </c>
      <c r="C123" s="10">
        <f>290872.3+120409.7</f>
        <v>411282</v>
      </c>
      <c r="D123" s="67">
        <v>468834.03</v>
      </c>
      <c r="E123" s="67">
        <v>501254.51</v>
      </c>
      <c r="F123" s="55">
        <f>461297.3+8927.17</f>
        <v>470224.47</v>
      </c>
      <c r="G123" s="68">
        <f t="shared" si="134"/>
        <v>1851595.01</v>
      </c>
      <c r="H123" s="17"/>
      <c r="J123" t="s">
        <v>161</v>
      </c>
      <c r="K123" s="29">
        <f t="shared" si="145"/>
        <v>0.9857625025705729</v>
      </c>
      <c r="L123" s="30">
        <f t="shared" si="135"/>
        <v>0.8116133860287962</v>
      </c>
      <c r="M123" s="29">
        <f t="shared" si="146"/>
        <v>0.98244458308313</v>
      </c>
      <c r="N123" s="30">
        <f t="shared" si="136"/>
        <v>2.0185851032811706</v>
      </c>
      <c r="O123" s="29">
        <f t="shared" si="147"/>
        <v>0.9592344618141239</v>
      </c>
      <c r="P123" s="30">
        <f t="shared" si="137"/>
        <v>1.6518326893789705</v>
      </c>
      <c r="Q123" s="29">
        <f t="shared" si="148"/>
        <v>1.0017524856367737</v>
      </c>
      <c r="R123" s="30">
        <f t="shared" si="138"/>
        <v>1.3230797966876933</v>
      </c>
      <c r="S123" s="29">
        <f t="shared" si="149"/>
        <v>0.981553394069543</v>
      </c>
      <c r="T123" s="30">
        <f t="shared" si="139"/>
        <v>1.4711608935347744</v>
      </c>
      <c r="V123" s="50">
        <f t="shared" si="140"/>
        <v>0.22212308727274005</v>
      </c>
      <c r="W123" s="50">
        <f t="shared" si="141"/>
        <v>0.2532054944347684</v>
      </c>
      <c r="X123" s="50">
        <f t="shared" si="142"/>
        <v>0.27071498210615724</v>
      </c>
      <c r="Y123" s="50">
        <f t="shared" si="143"/>
        <v>0.2539564361863343</v>
      </c>
      <c r="Z123" s="50">
        <f t="shared" si="144"/>
        <v>1</v>
      </c>
    </row>
    <row r="124" spans="2:26" ht="13.5" customHeight="1">
      <c r="B124" s="16" t="s">
        <v>162</v>
      </c>
      <c r="C124" s="10">
        <f>391239.64+39669.44</f>
        <v>430909.08</v>
      </c>
      <c r="D124" s="67">
        <v>489047.22</v>
      </c>
      <c r="E124" s="67">
        <v>536103.11</v>
      </c>
      <c r="F124" s="55">
        <f>459152.03+9096.31</f>
        <v>468248.34</v>
      </c>
      <c r="G124" s="68">
        <f aca="true" t="shared" si="150" ref="G124:G137">SUM(C124:F124)</f>
        <v>1924307.7500000002</v>
      </c>
      <c r="H124" s="17"/>
      <c r="J124" t="s">
        <v>162</v>
      </c>
      <c r="K124" s="29">
        <f t="shared" si="145"/>
        <v>1.047721709192233</v>
      </c>
      <c r="L124" s="30">
        <f t="shared" si="135"/>
        <v>0.850344964013386</v>
      </c>
      <c r="M124" s="29">
        <f t="shared" si="146"/>
        <v>1.0431137432579285</v>
      </c>
      <c r="N124" s="30">
        <f t="shared" si="136"/>
        <v>2.105613863168314</v>
      </c>
      <c r="O124" s="29">
        <f t="shared" si="147"/>
        <v>1.0695227659896764</v>
      </c>
      <c r="P124" s="30">
        <f t="shared" si="137"/>
        <v>1.7666726668967625</v>
      </c>
      <c r="Q124" s="29">
        <f t="shared" si="148"/>
        <v>0.9957974751930712</v>
      </c>
      <c r="R124" s="30">
        <f t="shared" si="138"/>
        <v>1.3175195210205668</v>
      </c>
      <c r="S124" s="29">
        <f t="shared" si="149"/>
        <v>1.0392703261821818</v>
      </c>
      <c r="T124" s="30">
        <f t="shared" si="139"/>
        <v>1.5289338616903552</v>
      </c>
      <c r="V124" s="50">
        <f t="shared" si="140"/>
        <v>0.2239294000660757</v>
      </c>
      <c r="W124" s="50">
        <f t="shared" si="141"/>
        <v>0.25414189596232717</v>
      </c>
      <c r="X124" s="50">
        <f t="shared" si="142"/>
        <v>0.2785953078451198</v>
      </c>
      <c r="Y124" s="50">
        <f t="shared" si="143"/>
        <v>0.24333339612647714</v>
      </c>
      <c r="Z124" s="50">
        <f t="shared" si="144"/>
        <v>0.9999999999999998</v>
      </c>
    </row>
    <row r="125" spans="2:26" ht="13.5" customHeight="1">
      <c r="B125" s="24" t="s">
        <v>163</v>
      </c>
      <c r="C125" s="25">
        <f>-43981*(C124/(C124+F124))</f>
        <v>-21077.301733749802</v>
      </c>
      <c r="D125" s="25">
        <v>-23442</v>
      </c>
      <c r="E125" s="25">
        <v>-25063</v>
      </c>
      <c r="F125" s="25">
        <f>-43981-C125</f>
        <v>-22903.698266250198</v>
      </c>
      <c r="G125" s="75">
        <f t="shared" si="150"/>
        <v>-92486</v>
      </c>
      <c r="H125" s="17"/>
      <c r="J125" t="s">
        <v>163</v>
      </c>
      <c r="K125" s="29" t="s">
        <v>155</v>
      </c>
      <c r="L125" s="30" t="s">
        <v>155</v>
      </c>
      <c r="M125" s="29" t="s">
        <v>155</v>
      </c>
      <c r="N125" s="30" t="s">
        <v>155</v>
      </c>
      <c r="O125" s="29" t="s">
        <v>155</v>
      </c>
      <c r="P125" s="30" t="s">
        <v>155</v>
      </c>
      <c r="Q125" s="29" t="s">
        <v>155</v>
      </c>
      <c r="R125" s="30" t="s">
        <v>155</v>
      </c>
      <c r="S125" s="29" t="s">
        <v>155</v>
      </c>
      <c r="T125" s="30" t="s">
        <v>155</v>
      </c>
      <c r="V125" s="50"/>
      <c r="W125" s="50"/>
      <c r="X125" s="50"/>
      <c r="Y125" s="50"/>
      <c r="Z125" s="50"/>
    </row>
    <row r="126" spans="2:26" ht="13.5" customHeight="1">
      <c r="B126" s="24" t="s">
        <v>164</v>
      </c>
      <c r="C126" s="25">
        <f>C124+C125</f>
        <v>409831.7782662502</v>
      </c>
      <c r="D126" s="25">
        <f>D124+D125</f>
        <v>465605.22</v>
      </c>
      <c r="E126" s="25">
        <f>E124+E125</f>
        <v>511040.11</v>
      </c>
      <c r="F126" s="25">
        <f>F124+F125</f>
        <v>445344.6417337498</v>
      </c>
      <c r="G126" s="75">
        <f t="shared" si="150"/>
        <v>1831821.75</v>
      </c>
      <c r="H126" s="17"/>
      <c r="J126" t="s">
        <v>164</v>
      </c>
      <c r="K126" s="29" t="s">
        <v>155</v>
      </c>
      <c r="L126" s="30" t="s">
        <v>155</v>
      </c>
      <c r="M126" s="29" t="s">
        <v>155</v>
      </c>
      <c r="N126" s="30" t="s">
        <v>155</v>
      </c>
      <c r="O126" s="29" t="s">
        <v>155</v>
      </c>
      <c r="P126" s="30" t="s">
        <v>155</v>
      </c>
      <c r="Q126" s="29" t="s">
        <v>155</v>
      </c>
      <c r="R126" s="30" t="s">
        <v>155</v>
      </c>
      <c r="S126" s="29" t="s">
        <v>155</v>
      </c>
      <c r="T126" s="30" t="s">
        <v>155</v>
      </c>
      <c r="V126" s="50"/>
      <c r="W126" s="50"/>
      <c r="X126" s="50"/>
      <c r="Y126" s="50"/>
      <c r="Z126" s="50"/>
    </row>
    <row r="127" spans="2:26" ht="13.5" customHeight="1">
      <c r="B127" s="16" t="s">
        <v>165</v>
      </c>
      <c r="C127" s="10">
        <f>322401.5+100259.14</f>
        <v>422660.64</v>
      </c>
      <c r="D127" s="67">
        <v>460981.26</v>
      </c>
      <c r="E127" s="67">
        <v>530136.28</v>
      </c>
      <c r="F127" s="55">
        <f>453356.05-13049.6</f>
        <v>440306.45</v>
      </c>
      <c r="G127" s="68">
        <f t="shared" si="150"/>
        <v>1854084.6300000001</v>
      </c>
      <c r="H127" s="17"/>
      <c r="J127" t="s">
        <v>165</v>
      </c>
      <c r="K127" s="29">
        <f t="shared" si="145"/>
        <v>1.0313027500893681</v>
      </c>
      <c r="L127" s="30">
        <f>K127*L124</f>
        <v>0.8769630999116498</v>
      </c>
      <c r="M127" s="29">
        <f t="shared" si="146"/>
        <v>0.9900689257736416</v>
      </c>
      <c r="N127" s="30">
        <f>M127*N124</f>
        <v>2.08470285560114</v>
      </c>
      <c r="O127" s="29">
        <f t="shared" si="147"/>
        <v>1.0373672626205408</v>
      </c>
      <c r="P127" s="30">
        <f>O127*P124</f>
        <v>1.832688388405225</v>
      </c>
      <c r="Q127" s="29">
        <f t="shared" si="148"/>
        <v>0.9886869824813972</v>
      </c>
      <c r="R127" s="30">
        <f>Q127*R124</f>
        <v>1.3026143995981598</v>
      </c>
      <c r="S127" s="29">
        <f t="shared" si="149"/>
        <v>1.0121534095771054</v>
      </c>
      <c r="T127" s="30">
        <f>S127*T124</f>
        <v>1.5475156211277834</v>
      </c>
      <c r="V127" s="50">
        <f aca="true" t="shared" si="151" ref="V127:V132">C127/G127</f>
        <v>0.22796189190134217</v>
      </c>
      <c r="W127" s="50">
        <f aca="true" t="shared" si="152" ref="W127:W132">D127/G127</f>
        <v>0.24863010703022762</v>
      </c>
      <c r="X127" s="50">
        <f aca="true" t="shared" si="153" ref="X127:X132">E127/G127</f>
        <v>0.28592884673230906</v>
      </c>
      <c r="Y127" s="50">
        <f aca="true" t="shared" si="154" ref="Y127:Y132">F127/G127</f>
        <v>0.2374791543361211</v>
      </c>
      <c r="Z127" s="50">
        <f aca="true" t="shared" si="155" ref="Z127:Z132">SUM(V127:Y127)</f>
        <v>0.9999999999999999</v>
      </c>
    </row>
    <row r="128" spans="2:26" ht="13.5" customHeight="1">
      <c r="B128" s="16" t="s">
        <v>166</v>
      </c>
      <c r="C128" s="10">
        <f>250687.25+148988.6</f>
        <v>399675.85</v>
      </c>
      <c r="D128" s="67">
        <v>426253.78</v>
      </c>
      <c r="E128" s="67">
        <v>505175.97</v>
      </c>
      <c r="F128" s="55">
        <f>448827.24-12266.52</f>
        <v>436560.72</v>
      </c>
      <c r="G128" s="68">
        <f t="shared" si="150"/>
        <v>1767666.32</v>
      </c>
      <c r="H128" s="17"/>
      <c r="J128" t="s">
        <v>166</v>
      </c>
      <c r="K128" s="29">
        <f t="shared" si="145"/>
        <v>0.9456188066151605</v>
      </c>
      <c r="L128" s="30">
        <f aca="true" t="shared" si="156" ref="L128:L133">K128*L127</f>
        <v>0.8292727999839861</v>
      </c>
      <c r="M128" s="29">
        <f t="shared" si="146"/>
        <v>0.9246661784038683</v>
      </c>
      <c r="N128" s="30">
        <f aca="true" t="shared" si="157" ref="N128:N133">M128*N127</f>
        <v>1.9276542225963378</v>
      </c>
      <c r="O128" s="29">
        <f t="shared" si="147"/>
        <v>0.952917181974416</v>
      </c>
      <c r="P128" s="30">
        <f aca="true" t="shared" si="158" ref="P128:P133">O128*P127</f>
        <v>1.7464002545163408</v>
      </c>
      <c r="Q128" s="29">
        <f t="shared" si="148"/>
        <v>0.991492902272951</v>
      </c>
      <c r="R128" s="30">
        <f aca="true" t="shared" si="159" ref="R128:R133">Q128*R127</f>
        <v>1.291532931600117</v>
      </c>
      <c r="S128" s="29">
        <f t="shared" si="149"/>
        <v>0.9533903099126602</v>
      </c>
      <c r="T128" s="30">
        <f aca="true" t="shared" si="160" ref="T128:T133">S128*T127</f>
        <v>1.4753863976217</v>
      </c>
      <c r="V128" s="50">
        <f t="shared" si="151"/>
        <v>0.22610367436315693</v>
      </c>
      <c r="W128" s="50">
        <f t="shared" si="152"/>
        <v>0.24113927791530249</v>
      </c>
      <c r="X128" s="50">
        <f t="shared" si="153"/>
        <v>0.28578695214377337</v>
      </c>
      <c r="Y128" s="50">
        <f t="shared" si="154"/>
        <v>0.24697009557776717</v>
      </c>
      <c r="Z128" s="50">
        <f t="shared" si="155"/>
        <v>1</v>
      </c>
    </row>
    <row r="129" spans="2:26" ht="13.5" customHeight="1">
      <c r="B129" s="16" t="s">
        <v>167</v>
      </c>
      <c r="C129" s="10">
        <f>158175.76+219588.91</f>
        <v>377764.67000000004</v>
      </c>
      <c r="D129" s="67">
        <v>417850.5</v>
      </c>
      <c r="E129" s="67">
        <v>495918.58</v>
      </c>
      <c r="F129" s="55">
        <f>448344.75-12264.14</f>
        <v>436080.61</v>
      </c>
      <c r="G129" s="68">
        <f t="shared" si="150"/>
        <v>1727614.3599999999</v>
      </c>
      <c r="H129" s="17"/>
      <c r="J129" t="s">
        <v>167</v>
      </c>
      <c r="K129" s="29">
        <f t="shared" si="145"/>
        <v>0.9451776233164952</v>
      </c>
      <c r="L129" s="30">
        <f t="shared" si="156"/>
        <v>0.7838100941698792</v>
      </c>
      <c r="M129" s="29">
        <f t="shared" si="146"/>
        <v>0.9802857349440982</v>
      </c>
      <c r="N129" s="30">
        <f t="shared" si="157"/>
        <v>1.8896519363159452</v>
      </c>
      <c r="O129" s="29">
        <f t="shared" si="147"/>
        <v>0.9816749201273371</v>
      </c>
      <c r="P129" s="30">
        <f t="shared" si="158"/>
        <v>1.7143973303626903</v>
      </c>
      <c r="Q129" s="29">
        <f t="shared" si="148"/>
        <v>0.9989002446211835</v>
      </c>
      <c r="R129" s="30">
        <f t="shared" si="159"/>
        <v>1.290112561311671</v>
      </c>
      <c r="S129" s="29">
        <f t="shared" si="149"/>
        <v>0.9773419001387094</v>
      </c>
      <c r="T129" s="30">
        <f t="shared" si="160"/>
        <v>1.4419569452903978</v>
      </c>
      <c r="V129" s="50">
        <f t="shared" si="151"/>
        <v>0.21866261287617456</v>
      </c>
      <c r="W129" s="50">
        <f t="shared" si="152"/>
        <v>0.2418656094060251</v>
      </c>
      <c r="X129" s="50">
        <f t="shared" si="153"/>
        <v>0.28705398119057085</v>
      </c>
      <c r="Y129" s="50">
        <f t="shared" si="154"/>
        <v>0.2524177965272296</v>
      </c>
      <c r="Z129" s="50">
        <f t="shared" si="155"/>
        <v>1.0000000000000002</v>
      </c>
    </row>
    <row r="130" spans="2:26" ht="13.5" customHeight="1">
      <c r="B130" s="16" t="s">
        <v>168</v>
      </c>
      <c r="C130" s="10">
        <f>135471.72+242594.76</f>
        <v>378066.48</v>
      </c>
      <c r="D130" s="67">
        <v>427104.3</v>
      </c>
      <c r="E130" s="67">
        <v>498634.22</v>
      </c>
      <c r="F130" s="55">
        <f>450160.22-11473.16</f>
        <v>438687.06</v>
      </c>
      <c r="G130" s="68">
        <f t="shared" si="150"/>
        <v>1742492.06</v>
      </c>
      <c r="H130" s="17"/>
      <c r="J130" t="s">
        <v>168</v>
      </c>
      <c r="K130" s="29">
        <f aca="true" t="shared" si="161" ref="K130:K135">C130/C129</f>
        <v>1.0007989365442775</v>
      </c>
      <c r="L130" s="30">
        <f t="shared" si="156"/>
        <v>0.7844363086978852</v>
      </c>
      <c r="M130" s="29">
        <f aca="true" t="shared" si="162" ref="M130:M135">D130/D129</f>
        <v>1.0221461982216127</v>
      </c>
      <c r="N130" s="30">
        <f t="shared" si="157"/>
        <v>1.9315005426674523</v>
      </c>
      <c r="O130" s="29">
        <f aca="true" t="shared" si="163" ref="O130:O135">E130/E129</f>
        <v>1.005475979544868</v>
      </c>
      <c r="P130" s="30">
        <f t="shared" si="158"/>
        <v>1.7237853350755328</v>
      </c>
      <c r="Q130" s="29">
        <f aca="true" t="shared" si="164" ref="Q130:Q135">F130/F129</f>
        <v>1.0059769912723246</v>
      </c>
      <c r="R130" s="30">
        <f t="shared" si="159"/>
        <v>1.2978235528309474</v>
      </c>
      <c r="S130" s="29">
        <f aca="true" t="shared" si="165" ref="S130:S135">G130/G129</f>
        <v>1.0086117019772862</v>
      </c>
      <c r="T130" s="30">
        <f t="shared" si="160"/>
        <v>1.4543746487673166</v>
      </c>
      <c r="U130" s="61">
        <f>T130/T116-1</f>
        <v>-0.06364248122837535</v>
      </c>
      <c r="V130" s="50">
        <f t="shared" si="151"/>
        <v>0.21696883944481216</v>
      </c>
      <c r="W130" s="50">
        <f t="shared" si="152"/>
        <v>0.24511118862716652</v>
      </c>
      <c r="X130" s="50">
        <f t="shared" si="153"/>
        <v>0.28616154497714036</v>
      </c>
      <c r="Y130" s="50">
        <f t="shared" si="154"/>
        <v>0.2517584269508809</v>
      </c>
      <c r="Z130" s="50">
        <f t="shared" si="155"/>
        <v>0.9999999999999999</v>
      </c>
    </row>
    <row r="131" spans="2:26" ht="13.5" customHeight="1">
      <c r="B131" s="16" t="s">
        <v>169</v>
      </c>
      <c r="C131" s="10">
        <f>70187.6+282342.66</f>
        <v>352530.26</v>
      </c>
      <c r="D131" s="67">
        <v>402617.97</v>
      </c>
      <c r="E131" s="67">
        <v>455714.91</v>
      </c>
      <c r="F131" s="55">
        <f>340175.97+84626.65</f>
        <v>424802.62</v>
      </c>
      <c r="G131" s="68">
        <f t="shared" si="150"/>
        <v>1635665.7599999998</v>
      </c>
      <c r="H131" s="17"/>
      <c r="J131" t="s">
        <v>169</v>
      </c>
      <c r="K131" s="29">
        <f t="shared" si="161"/>
        <v>0.9324557416462841</v>
      </c>
      <c r="L131" s="30">
        <f t="shared" si="156"/>
        <v>0.73145214000116</v>
      </c>
      <c r="M131" s="29">
        <f t="shared" si="162"/>
        <v>0.9426689686804839</v>
      </c>
      <c r="N131" s="30">
        <f t="shared" si="157"/>
        <v>1.8207656245621222</v>
      </c>
      <c r="O131" s="29">
        <f t="shared" si="163"/>
        <v>0.9139262644268579</v>
      </c>
      <c r="P131" s="30">
        <f t="shared" si="158"/>
        <v>1.5754126919593812</v>
      </c>
      <c r="Q131" s="29">
        <f t="shared" si="164"/>
        <v>0.968350012421155</v>
      </c>
      <c r="R131" s="30">
        <f t="shared" si="159"/>
        <v>1.2567474535043155</v>
      </c>
      <c r="S131" s="29">
        <f t="shared" si="165"/>
        <v>0.9386933791824565</v>
      </c>
      <c r="T131" s="30">
        <f t="shared" si="160"/>
        <v>1.3652118536486908</v>
      </c>
      <c r="V131" s="50">
        <f t="shared" si="151"/>
        <v>0.21552707687663528</v>
      </c>
      <c r="W131" s="50">
        <f t="shared" si="152"/>
        <v>0.2461492927503722</v>
      </c>
      <c r="X131" s="50">
        <f t="shared" si="153"/>
        <v>0.278611267133207</v>
      </c>
      <c r="Y131" s="50">
        <f t="shared" si="154"/>
        <v>0.25971236323978564</v>
      </c>
      <c r="Z131" s="50">
        <f t="shared" si="155"/>
        <v>1</v>
      </c>
    </row>
    <row r="132" spans="2:26" ht="13.5" customHeight="1">
      <c r="B132" s="16" t="s">
        <v>173</v>
      </c>
      <c r="C132" s="10">
        <f>163745.07+163320.17</f>
        <v>327065.24</v>
      </c>
      <c r="D132" s="67">
        <v>350336.42</v>
      </c>
      <c r="E132" s="67">
        <v>399790.15</v>
      </c>
      <c r="F132" s="55">
        <f>315923.7+101073.3</f>
        <v>416997</v>
      </c>
      <c r="G132" s="68">
        <f t="shared" si="150"/>
        <v>1494188.81</v>
      </c>
      <c r="H132" s="17"/>
      <c r="J132" t="s">
        <v>173</v>
      </c>
      <c r="K132" s="29">
        <f t="shared" si="161"/>
        <v>0.9277650094491179</v>
      </c>
      <c r="L132" s="30">
        <f t="shared" si="156"/>
        <v>0.6786157015797537</v>
      </c>
      <c r="M132" s="29">
        <f t="shared" si="162"/>
        <v>0.8701460096279359</v>
      </c>
      <c r="N132" s="30">
        <f t="shared" si="157"/>
        <v>1.584331942680447</v>
      </c>
      <c r="O132" s="29">
        <f t="shared" si="163"/>
        <v>0.8772812590222252</v>
      </c>
      <c r="P132" s="30">
        <f t="shared" si="158"/>
        <v>1.3820800298817189</v>
      </c>
      <c r="Q132" s="29">
        <f t="shared" si="164"/>
        <v>0.9816253016518589</v>
      </c>
      <c r="R132" s="30">
        <f t="shared" si="159"/>
        <v>1.2336550981463792</v>
      </c>
      <c r="S132" s="29">
        <f t="shared" si="165"/>
        <v>0.9135049754908364</v>
      </c>
      <c r="T132" s="30">
        <f t="shared" si="160"/>
        <v>1.2471278209071466</v>
      </c>
      <c r="V132" s="50">
        <f t="shared" si="151"/>
        <v>0.21889150675676655</v>
      </c>
      <c r="W132" s="50">
        <f t="shared" si="152"/>
        <v>0.2344659641775794</v>
      </c>
      <c r="X132" s="50">
        <f t="shared" si="153"/>
        <v>0.26756334094082795</v>
      </c>
      <c r="Y132" s="50">
        <f t="shared" si="154"/>
        <v>0.27907918812482607</v>
      </c>
      <c r="Z132" s="50">
        <f t="shared" si="155"/>
        <v>1</v>
      </c>
    </row>
    <row r="133" spans="2:26" ht="13.5" customHeight="1">
      <c r="B133" s="16" t="s">
        <v>174</v>
      </c>
      <c r="C133" s="10">
        <f>316264.9-5374.85</f>
        <v>310890.05000000005</v>
      </c>
      <c r="D133" s="67">
        <v>312323.9</v>
      </c>
      <c r="E133" s="67">
        <v>384091.76</v>
      </c>
      <c r="F133" s="55">
        <f>366071.16+56433.05</f>
        <v>422504.20999999996</v>
      </c>
      <c r="G133" s="68">
        <f t="shared" si="150"/>
        <v>1429809.92</v>
      </c>
      <c r="H133" s="17"/>
      <c r="J133" t="s">
        <v>174</v>
      </c>
      <c r="K133" s="29">
        <f t="shared" si="161"/>
        <v>0.9505444540667178</v>
      </c>
      <c r="L133" s="30">
        <f t="shared" si="156"/>
        <v>0.6450543915792297</v>
      </c>
      <c r="M133" s="29">
        <f t="shared" si="162"/>
        <v>0.8914970929942141</v>
      </c>
      <c r="N133" s="30">
        <f t="shared" si="157"/>
        <v>1.4124273212374943</v>
      </c>
      <c r="O133" s="29">
        <f t="shared" si="163"/>
        <v>0.9607334247729715</v>
      </c>
      <c r="P133" s="30">
        <f t="shared" si="158"/>
        <v>1.3278104804185946</v>
      </c>
      <c r="Q133" s="29">
        <f t="shared" si="164"/>
        <v>1.0132068336223041</v>
      </c>
      <c r="R133" s="30">
        <f t="shared" si="159"/>
        <v>1.2499477757749058</v>
      </c>
      <c r="S133" s="29">
        <f t="shared" si="165"/>
        <v>0.9569138186759677</v>
      </c>
      <c r="T133" s="30">
        <f t="shared" si="160"/>
        <v>1.193393845481296</v>
      </c>
      <c r="V133" s="50">
        <f aca="true" t="shared" si="166" ref="V133:V138">C133/G133</f>
        <v>0.21743453143757743</v>
      </c>
      <c r="W133" s="50">
        <f aca="true" t="shared" si="167" ref="W133:W138">D133/G133</f>
        <v>0.21843735704393494</v>
      </c>
      <c r="X133" s="50">
        <f aca="true" t="shared" si="168" ref="X133:X138">E133/G133</f>
        <v>0.26863134366839475</v>
      </c>
      <c r="Y133" s="50">
        <f aca="true" t="shared" si="169" ref="Y133:Y138">F133/G133</f>
        <v>0.29549676785009293</v>
      </c>
      <c r="Z133" s="50">
        <f aca="true" t="shared" si="170" ref="Z133:Z138">SUM(V133:Y133)</f>
        <v>1</v>
      </c>
    </row>
    <row r="134" spans="2:26" ht="13.5" customHeight="1">
      <c r="B134" s="16" t="s">
        <v>175</v>
      </c>
      <c r="C134" s="10">
        <f>229475.99+81831.91</f>
        <v>311307.9</v>
      </c>
      <c r="D134" s="67">
        <v>320998.92</v>
      </c>
      <c r="E134" s="67">
        <v>397273.95</v>
      </c>
      <c r="F134" s="55">
        <f>377353.85+56849.83</f>
        <v>434203.68</v>
      </c>
      <c r="G134" s="68">
        <f t="shared" si="150"/>
        <v>1463784.45</v>
      </c>
      <c r="H134" s="17"/>
      <c r="J134" t="s">
        <v>175</v>
      </c>
      <c r="K134" s="29">
        <f t="shared" si="161"/>
        <v>1.0013440443011925</v>
      </c>
      <c r="L134" s="30">
        <f>K134*L133</f>
        <v>0.645921373258191</v>
      </c>
      <c r="M134" s="29">
        <f t="shared" si="162"/>
        <v>1.0277757161715768</v>
      </c>
      <c r="N134" s="30">
        <f>M134*N133</f>
        <v>1.4516585016251675</v>
      </c>
      <c r="O134" s="29">
        <f t="shared" si="163"/>
        <v>1.0343204186416288</v>
      </c>
      <c r="P134" s="30">
        <f>O134*P133</f>
        <v>1.3733814919833032</v>
      </c>
      <c r="Q134" s="29">
        <f t="shared" si="164"/>
        <v>1.0276907773297692</v>
      </c>
      <c r="R134" s="30">
        <f>Q134*R133</f>
        <v>1.284559801307729</v>
      </c>
      <c r="S134" s="29">
        <f t="shared" si="165"/>
        <v>1.0237615710485488</v>
      </c>
      <c r="T134" s="30">
        <f>S134*T133</f>
        <v>1.2217507581296008</v>
      </c>
      <c r="V134" s="50">
        <f t="shared" si="166"/>
        <v>0.2126733208567696</v>
      </c>
      <c r="W134" s="50">
        <f t="shared" si="167"/>
        <v>0.219293844800715</v>
      </c>
      <c r="X134" s="50">
        <f t="shared" si="168"/>
        <v>0.2714019471924299</v>
      </c>
      <c r="Y134" s="50">
        <f t="shared" si="169"/>
        <v>0.2966308871500855</v>
      </c>
      <c r="Z134" s="50">
        <f t="shared" si="170"/>
        <v>1</v>
      </c>
    </row>
    <row r="135" spans="2:26" ht="13.5" customHeight="1">
      <c r="B135" s="16" t="s">
        <v>230</v>
      </c>
      <c r="C135" s="10">
        <f>178769.69+113890.54</f>
        <v>292660.23</v>
      </c>
      <c r="D135" s="67">
        <v>294918.61</v>
      </c>
      <c r="E135" s="67">
        <v>378689.61</v>
      </c>
      <c r="F135" s="55">
        <f>378139.05+56764.96</f>
        <v>434904.01</v>
      </c>
      <c r="G135" s="68">
        <f t="shared" si="150"/>
        <v>1401172.46</v>
      </c>
      <c r="H135" s="17"/>
      <c r="J135" t="s">
        <v>176</v>
      </c>
      <c r="K135" s="29">
        <f t="shared" si="161"/>
        <v>0.9400989502675645</v>
      </c>
      <c r="L135" s="30">
        <f>K135*L134</f>
        <v>0.607230004955409</v>
      </c>
      <c r="M135" s="29">
        <f t="shared" si="162"/>
        <v>0.9187526549933563</v>
      </c>
      <c r="N135" s="30">
        <f>M135*N134</f>
        <v>1.3337151025118001</v>
      </c>
      <c r="O135" s="29">
        <f t="shared" si="163"/>
        <v>0.9532203407749237</v>
      </c>
      <c r="P135" s="30">
        <f>O135*P134</f>
        <v>1.3091351738022974</v>
      </c>
      <c r="Q135" s="29">
        <f t="shared" si="164"/>
        <v>1.0016129066432602</v>
      </c>
      <c r="R135" s="30">
        <f>Q135*R134</f>
        <v>1.2866316763449233</v>
      </c>
      <c r="S135" s="29">
        <f t="shared" si="165"/>
        <v>0.9572259494900359</v>
      </c>
      <c r="T135" s="30">
        <f>S135*T134</f>
        <v>1.1694915294907784</v>
      </c>
      <c r="V135" s="50">
        <f t="shared" si="166"/>
        <v>0.2088681003621781</v>
      </c>
      <c r="W135" s="50">
        <f t="shared" si="167"/>
        <v>0.21047987911495206</v>
      </c>
      <c r="X135" s="50">
        <f t="shared" si="168"/>
        <v>0.27026623831872915</v>
      </c>
      <c r="Y135" s="50">
        <f t="shared" si="169"/>
        <v>0.3103857822041407</v>
      </c>
      <c r="Z135" s="50">
        <f t="shared" si="170"/>
        <v>1</v>
      </c>
    </row>
    <row r="136" spans="2:26" ht="13.5" customHeight="1">
      <c r="B136" s="16" t="s">
        <v>177</v>
      </c>
      <c r="C136" s="10">
        <f>102165.81+179522.74</f>
        <v>281688.55</v>
      </c>
      <c r="D136" s="67">
        <v>284752.1</v>
      </c>
      <c r="E136" s="67">
        <v>361732.44</v>
      </c>
      <c r="F136" s="55">
        <f>371891.03+57047.86</f>
        <v>428938.89</v>
      </c>
      <c r="G136" s="68">
        <f t="shared" si="150"/>
        <v>1357111.98</v>
      </c>
      <c r="H136" s="17"/>
      <c r="J136" t="s">
        <v>177</v>
      </c>
      <c r="K136" s="29">
        <f>C136/C135</f>
        <v>0.9625105194511738</v>
      </c>
      <c r="L136" s="30">
        <f>K136*L135</f>
        <v>0.5844652674959696</v>
      </c>
      <c r="M136" s="29">
        <f>D136/D135</f>
        <v>0.9655277434001197</v>
      </c>
      <c r="N136" s="30">
        <f>M136*N135</f>
        <v>1.2877389332668778</v>
      </c>
      <c r="O136" s="29">
        <f>E136/E135</f>
        <v>0.9552214543198057</v>
      </c>
      <c r="P136" s="30">
        <f>O136*P135</f>
        <v>1.250514004620642</v>
      </c>
      <c r="Q136" s="29">
        <f>F136/F135</f>
        <v>0.9862840538076437</v>
      </c>
      <c r="R136" s="30">
        <f>Q136*R135</f>
        <v>1.2689843055027952</v>
      </c>
      <c r="S136" s="29">
        <f>G136/G135</f>
        <v>0.9685545632262855</v>
      </c>
      <c r="T136" s="30">
        <f>S136*T135</f>
        <v>1.1327163575427814</v>
      </c>
      <c r="V136" s="50">
        <f t="shared" si="166"/>
        <v>0.20756470663533602</v>
      </c>
      <c r="W136" s="50">
        <f t="shared" si="167"/>
        <v>0.20982211062642006</v>
      </c>
      <c r="X136" s="50">
        <f t="shared" si="168"/>
        <v>0.2665457569684117</v>
      </c>
      <c r="Y136" s="50">
        <f t="shared" si="169"/>
        <v>0.3160674257698322</v>
      </c>
      <c r="Z136" s="50">
        <f t="shared" si="170"/>
        <v>1</v>
      </c>
    </row>
    <row r="137" spans="2:26" ht="13.5" customHeight="1">
      <c r="B137" s="16" t="s">
        <v>178</v>
      </c>
      <c r="C137" s="10">
        <f>227903.71+71666.83</f>
        <v>299570.54</v>
      </c>
      <c r="D137" s="67">
        <v>289819.19</v>
      </c>
      <c r="E137" s="67">
        <v>371993.72</v>
      </c>
      <c r="F137" s="55">
        <f>393342.52+47341.47</f>
        <v>440683.99</v>
      </c>
      <c r="G137" s="68">
        <f t="shared" si="150"/>
        <v>1402067.44</v>
      </c>
      <c r="H137" s="17"/>
      <c r="J137" t="s">
        <v>178</v>
      </c>
      <c r="K137" s="29">
        <f>C137/C136</f>
        <v>1.0634814230113365</v>
      </c>
      <c r="L137" s="30">
        <f>K137*L136</f>
        <v>0.6215679543773152</v>
      </c>
      <c r="M137" s="29">
        <f>D137/D136</f>
        <v>1.0177947414610815</v>
      </c>
      <c r="N137" s="30">
        <f>M137*N136</f>
        <v>1.3106539146537308</v>
      </c>
      <c r="O137" s="29">
        <f>E137/E136</f>
        <v>1.028367043884701</v>
      </c>
      <c r="P137" s="30">
        <f>O137*P136</f>
        <v>1.285987390268149</v>
      </c>
      <c r="Q137" s="29">
        <f>F137/F136</f>
        <v>1.0273817559419711</v>
      </c>
      <c r="R137" s="30">
        <f>Q137*R136</f>
        <v>1.3037313240502644</v>
      </c>
      <c r="S137" s="29">
        <f>G137/G136</f>
        <v>1.0331258294543977</v>
      </c>
      <c r="T137" s="30">
        <f>S137*T136</f>
        <v>1.1702385264229502</v>
      </c>
      <c r="V137" s="50">
        <f t="shared" si="166"/>
        <v>0.21366343119700432</v>
      </c>
      <c r="W137" s="50">
        <f t="shared" si="167"/>
        <v>0.2067084519129836</v>
      </c>
      <c r="X137" s="50">
        <f t="shared" si="168"/>
        <v>0.2653179935481563</v>
      </c>
      <c r="Y137" s="50">
        <f t="shared" si="169"/>
        <v>0.3143101233418558</v>
      </c>
      <c r="Z137" s="50">
        <f t="shared" si="170"/>
        <v>1</v>
      </c>
    </row>
    <row r="138" spans="2:26" ht="13.5" customHeight="1">
      <c r="B138" s="16" t="s">
        <v>179</v>
      </c>
      <c r="C138" s="10">
        <f>298086.65+15432.06</f>
        <v>313518.71</v>
      </c>
      <c r="D138" s="67">
        <v>305091.81</v>
      </c>
      <c r="E138" s="67">
        <v>383276.34</v>
      </c>
      <c r="F138" s="55">
        <f>365012.08+74943.9</f>
        <v>439955.98</v>
      </c>
      <c r="G138" s="68">
        <f aca="true" t="shared" si="171" ref="G138:G144">SUM(C138:F138)</f>
        <v>1441842.84</v>
      </c>
      <c r="H138" s="17"/>
      <c r="J138" t="s">
        <v>179</v>
      </c>
      <c r="K138" s="29">
        <f>C138/C137</f>
        <v>1.0465605529836146</v>
      </c>
      <c r="L138" s="30">
        <f>K138*L137</f>
        <v>0.6505085020500171</v>
      </c>
      <c r="M138" s="29">
        <f>D138/D137</f>
        <v>1.0526970626065169</v>
      </c>
      <c r="N138" s="30">
        <f>M138*N137</f>
        <v>1.3797215260497149</v>
      </c>
      <c r="O138" s="29">
        <f>E138/E137</f>
        <v>1.0303301356807852</v>
      </c>
      <c r="P138" s="30">
        <f>O138*P137</f>
        <v>1.3249915622987607</v>
      </c>
      <c r="Q138" s="29">
        <f>F138/F137</f>
        <v>0.9983479998898984</v>
      </c>
      <c r="R138" s="30">
        <f>Q138*R137</f>
        <v>1.3015775597593904</v>
      </c>
      <c r="S138" s="29">
        <f>G138/G137</f>
        <v>1.0283691061251663</v>
      </c>
      <c r="T138" s="30">
        <f>S138*T137</f>
        <v>1.2034371473708012</v>
      </c>
      <c r="V138" s="50">
        <f t="shared" si="166"/>
        <v>0.21744305364099184</v>
      </c>
      <c r="W138" s="50">
        <f t="shared" si="167"/>
        <v>0.21159851929493229</v>
      </c>
      <c r="X138" s="50">
        <f t="shared" si="168"/>
        <v>0.2658239368168586</v>
      </c>
      <c r="Y138" s="50">
        <f t="shared" si="169"/>
        <v>0.3051344902472172</v>
      </c>
      <c r="Z138" s="50">
        <f t="shared" si="170"/>
        <v>1</v>
      </c>
    </row>
    <row r="139" spans="2:26" ht="13.5" customHeight="1">
      <c r="B139" s="24" t="s">
        <v>180</v>
      </c>
      <c r="C139" s="25">
        <v>-15000</v>
      </c>
      <c r="D139" s="25">
        <v>-14500</v>
      </c>
      <c r="E139" s="25">
        <v>-18600</v>
      </c>
      <c r="F139" s="25">
        <v>-22000</v>
      </c>
      <c r="G139" s="75">
        <f t="shared" si="171"/>
        <v>-70100</v>
      </c>
      <c r="H139" s="17"/>
      <c r="J139" t="s">
        <v>180</v>
      </c>
      <c r="K139" s="29"/>
      <c r="L139" s="30"/>
      <c r="M139" s="29"/>
      <c r="N139" s="30"/>
      <c r="O139" s="29"/>
      <c r="P139" s="30"/>
      <c r="Q139" s="29"/>
      <c r="R139" s="30"/>
      <c r="S139" s="29"/>
      <c r="T139" s="30"/>
      <c r="V139" s="50"/>
      <c r="W139" s="50"/>
      <c r="X139" s="50"/>
      <c r="Y139" s="50"/>
      <c r="Z139" s="50"/>
    </row>
    <row r="140" spans="2:26" ht="13.5" customHeight="1">
      <c r="B140" s="24" t="s">
        <v>181</v>
      </c>
      <c r="C140" s="25">
        <f>C138+C139</f>
        <v>298518.71</v>
      </c>
      <c r="D140" s="25">
        <f>D138+D139</f>
        <v>290591.81</v>
      </c>
      <c r="E140" s="25">
        <f>E138+E139</f>
        <v>364676.34</v>
      </c>
      <c r="F140" s="25">
        <f>F138+F139</f>
        <v>417955.98</v>
      </c>
      <c r="G140" s="75">
        <f t="shared" si="171"/>
        <v>1371742.84</v>
      </c>
      <c r="H140" s="17"/>
      <c r="J140" t="s">
        <v>181</v>
      </c>
      <c r="K140" s="29"/>
      <c r="L140" s="30"/>
      <c r="M140" s="29"/>
      <c r="N140" s="30"/>
      <c r="O140" s="29"/>
      <c r="P140" s="30"/>
      <c r="Q140" s="29"/>
      <c r="R140" s="30"/>
      <c r="S140" s="29"/>
      <c r="T140" s="30"/>
      <c r="V140" s="50"/>
      <c r="W140" s="50"/>
      <c r="X140" s="50"/>
      <c r="Y140" s="50"/>
      <c r="Z140" s="50"/>
    </row>
    <row r="141" spans="2:26" ht="13.5" customHeight="1">
      <c r="B141" s="16" t="s">
        <v>182</v>
      </c>
      <c r="C141" s="10">
        <f>253103.12+8163.75+47287.03</f>
        <v>308553.9</v>
      </c>
      <c r="D141" s="67">
        <v>314157.73</v>
      </c>
      <c r="E141" s="67">
        <v>383275.98</v>
      </c>
      <c r="F141" s="10">
        <f>364362.9+59442.22</f>
        <v>423805.12</v>
      </c>
      <c r="G141" s="68">
        <f t="shared" si="171"/>
        <v>1429792.73</v>
      </c>
      <c r="H141" s="17"/>
      <c r="J141" t="s">
        <v>182</v>
      </c>
      <c r="K141" s="29">
        <f aca="true" t="shared" si="172" ref="K141:K146">C141/C140</f>
        <v>1.033616619876188</v>
      </c>
      <c r="L141" s="30">
        <f>K141*L138</f>
        <v>0.672376399089661</v>
      </c>
      <c r="M141" s="29">
        <f aca="true" t="shared" si="173" ref="M141:M146">D141/D140</f>
        <v>1.0810962979307641</v>
      </c>
      <c r="N141" s="30">
        <f>M141*N138</f>
        <v>1.4916118339877311</v>
      </c>
      <c r="O141" s="29">
        <f aca="true" t="shared" si="174" ref="O141:O146">E141/E140</f>
        <v>1.0510031443224421</v>
      </c>
      <c r="P141" s="30">
        <f>O141*P138</f>
        <v>1.3925702981767025</v>
      </c>
      <c r="Q141" s="29">
        <f aca="true" t="shared" si="175" ref="Q141:Q146">F141/F140</f>
        <v>1.0139946316834612</v>
      </c>
      <c r="R141" s="30">
        <f>Q141*R138</f>
        <v>1.3197926583156812</v>
      </c>
      <c r="S141" s="29">
        <f aca="true" t="shared" si="176" ref="S141:S146">G141/G140</f>
        <v>1.0423183473660411</v>
      </c>
      <c r="T141" s="30">
        <f>S141*T138</f>
        <v>1.2543646186064363</v>
      </c>
      <c r="V141" s="50">
        <f aca="true" t="shared" si="177" ref="V141:V147">C141/G141</f>
        <v>0.21580323743847826</v>
      </c>
      <c r="W141" s="50">
        <f aca="true" t="shared" si="178" ref="W141:W147">D141/G141</f>
        <v>0.21972256775987384</v>
      </c>
      <c r="X141" s="50">
        <f aca="true" t="shared" si="179" ref="X141:X147">E141/G141</f>
        <v>0.2680640151247657</v>
      </c>
      <c r="Y141" s="50">
        <f aca="true" t="shared" si="180" ref="Y141:Y147">F141/G141</f>
        <v>0.29641017967688227</v>
      </c>
      <c r="Z141" s="50">
        <f aca="true" t="shared" si="181" ref="Z141:Z147">SUM(V141:Y141)</f>
        <v>1</v>
      </c>
    </row>
    <row r="142" spans="2:26" ht="13.5" customHeight="1">
      <c r="B142" s="16" t="s">
        <v>183</v>
      </c>
      <c r="C142" s="10">
        <f>228805.27+8002.75+69962.54</f>
        <v>306770.56</v>
      </c>
      <c r="D142" s="67">
        <v>309782.39</v>
      </c>
      <c r="E142" s="67">
        <v>389695.09</v>
      </c>
      <c r="F142" s="10">
        <f>426642.53+443.58</f>
        <v>427086.11000000004</v>
      </c>
      <c r="G142" s="68">
        <f t="shared" si="171"/>
        <v>1433334.1500000001</v>
      </c>
      <c r="H142" s="17"/>
      <c r="J142" t="s">
        <v>183</v>
      </c>
      <c r="K142" s="29">
        <f t="shared" si="172"/>
        <v>0.9942203290899904</v>
      </c>
      <c r="L142" s="30">
        <f aca="true" t="shared" si="182" ref="L142:L147">K142*L141</f>
        <v>0.6684902847752654</v>
      </c>
      <c r="M142" s="29">
        <f t="shared" si="173"/>
        <v>0.9860727921608041</v>
      </c>
      <c r="N142" s="30">
        <f aca="true" t="shared" si="183" ref="N142:N147">M142*N141</f>
        <v>1.47083784596038</v>
      </c>
      <c r="O142" s="29">
        <f t="shared" si="174"/>
        <v>1.016748010141413</v>
      </c>
      <c r="P142" s="30">
        <f aca="true" t="shared" si="184" ref="P142:P147">O142*P141</f>
        <v>1.4158930796531966</v>
      </c>
      <c r="Q142" s="29">
        <f t="shared" si="175"/>
        <v>1.0077417422422836</v>
      </c>
      <c r="R142" s="30">
        <f aca="true" t="shared" si="185" ref="R142:R147">Q142*R141</f>
        <v>1.3300101528896195</v>
      </c>
      <c r="S142" s="29">
        <f t="shared" si="176"/>
        <v>1.0024768764910423</v>
      </c>
      <c r="T142" s="30">
        <f aca="true" t="shared" si="186" ref="T142:T147">S142*T141</f>
        <v>1.2574715248414579</v>
      </c>
      <c r="V142" s="50">
        <f t="shared" si="177"/>
        <v>0.2140258501480621</v>
      </c>
      <c r="W142" s="50">
        <f t="shared" si="178"/>
        <v>0.21612712569500978</v>
      </c>
      <c r="X142" s="50">
        <f t="shared" si="179"/>
        <v>0.2718801404403851</v>
      </c>
      <c r="Y142" s="50">
        <f t="shared" si="180"/>
        <v>0.297966883716543</v>
      </c>
      <c r="Z142" s="50">
        <f t="shared" si="181"/>
        <v>1</v>
      </c>
    </row>
    <row r="143" spans="2:26" ht="13.5" customHeight="1">
      <c r="B143" s="16" t="s">
        <v>184</v>
      </c>
      <c r="C143" s="10">
        <f>171924.43+8622.25+132519.11</f>
        <v>313065.79</v>
      </c>
      <c r="D143" s="67">
        <v>313046.91</v>
      </c>
      <c r="E143" s="67">
        <v>405300.88</v>
      </c>
      <c r="F143" s="10">
        <f>434748.62+682.73</f>
        <v>435431.35</v>
      </c>
      <c r="G143" s="68">
        <f t="shared" si="171"/>
        <v>1466844.93</v>
      </c>
      <c r="H143" s="17"/>
      <c r="J143" t="s">
        <v>184</v>
      </c>
      <c r="K143" s="29">
        <f t="shared" si="172"/>
        <v>1.020520971764696</v>
      </c>
      <c r="L143" s="30">
        <f t="shared" si="182"/>
        <v>0.6822083550341121</v>
      </c>
      <c r="M143" s="29">
        <f t="shared" si="173"/>
        <v>1.0105381070886565</v>
      </c>
      <c r="N143" s="30">
        <f t="shared" si="183"/>
        <v>1.4863376926911593</v>
      </c>
      <c r="O143" s="29">
        <f t="shared" si="174"/>
        <v>1.0400461550593312</v>
      </c>
      <c r="P143" s="30">
        <f t="shared" si="184"/>
        <v>1.4725941534684224</v>
      </c>
      <c r="Q143" s="29">
        <f t="shared" si="175"/>
        <v>1.0195399471080901</v>
      </c>
      <c r="R143" s="30">
        <f t="shared" si="185"/>
        <v>1.3559984809303056</v>
      </c>
      <c r="S143" s="29">
        <f t="shared" si="176"/>
        <v>1.023379600632553</v>
      </c>
      <c r="T143" s="30">
        <f t="shared" si="186"/>
        <v>1.2868707068990586</v>
      </c>
      <c r="V143" s="50">
        <f t="shared" si="177"/>
        <v>0.21342800700821182</v>
      </c>
      <c r="W143" s="50">
        <f t="shared" si="178"/>
        <v>0.2134151358453412</v>
      </c>
      <c r="X143" s="50">
        <f t="shared" si="179"/>
        <v>0.2763079257464523</v>
      </c>
      <c r="Y143" s="50">
        <f t="shared" si="180"/>
        <v>0.2968489313999947</v>
      </c>
      <c r="Z143" s="50">
        <f t="shared" si="181"/>
        <v>1</v>
      </c>
    </row>
    <row r="144" spans="2:26" ht="13.5" customHeight="1">
      <c r="B144" s="16" t="s">
        <v>185</v>
      </c>
      <c r="C144" s="10">
        <f>173722.01+9621.5+132575.27</f>
        <v>315918.78</v>
      </c>
      <c r="D144" s="67">
        <v>308360.15</v>
      </c>
      <c r="E144" s="67">
        <v>412095.2</v>
      </c>
      <c r="F144" s="55">
        <f>439280.09+1328.94</f>
        <v>440609.03</v>
      </c>
      <c r="G144" s="68">
        <f t="shared" si="171"/>
        <v>1476983.1600000001</v>
      </c>
      <c r="H144" s="17"/>
      <c r="J144" t="s">
        <v>185</v>
      </c>
      <c r="K144" s="29">
        <f t="shared" si="172"/>
        <v>1.0091130685342529</v>
      </c>
      <c r="L144" s="30">
        <f t="shared" si="182"/>
        <v>0.6884253665281779</v>
      </c>
      <c r="M144" s="29">
        <f t="shared" si="173"/>
        <v>0.9850285696798606</v>
      </c>
      <c r="N144" s="30">
        <f t="shared" si="183"/>
        <v>1.464085091492837</v>
      </c>
      <c r="O144" s="29">
        <f t="shared" si="174"/>
        <v>1.0167636448260364</v>
      </c>
      <c r="P144" s="30">
        <f t="shared" si="184"/>
        <v>1.4972801988300648</v>
      </c>
      <c r="Q144" s="29">
        <f t="shared" si="175"/>
        <v>1.0118909214965806</v>
      </c>
      <c r="R144" s="30">
        <f t="shared" si="185"/>
        <v>1.3721225524165304</v>
      </c>
      <c r="S144" s="29">
        <f t="shared" si="176"/>
        <v>1.0069115894888767</v>
      </c>
      <c r="T144" s="30">
        <f t="shared" si="186"/>
        <v>1.2957650289504055</v>
      </c>
      <c r="V144" s="50">
        <f t="shared" si="177"/>
        <v>0.21389463912371215</v>
      </c>
      <c r="W144" s="50">
        <f t="shared" si="178"/>
        <v>0.2087770249188217</v>
      </c>
      <c r="X144" s="50">
        <f t="shared" si="179"/>
        <v>0.27901144113247706</v>
      </c>
      <c r="Y144" s="50">
        <f t="shared" si="180"/>
        <v>0.2983168948249891</v>
      </c>
      <c r="Z144" s="50">
        <f t="shared" si="181"/>
        <v>1</v>
      </c>
    </row>
    <row r="145" spans="2:26" ht="13.5" customHeight="1">
      <c r="B145" s="16" t="s">
        <v>186</v>
      </c>
      <c r="C145" s="10">
        <f>123594.46+9716+182329.97</f>
        <v>315640.43000000005</v>
      </c>
      <c r="D145" s="67">
        <v>312121.83</v>
      </c>
      <c r="E145" s="67">
        <v>429199.82</v>
      </c>
      <c r="F145" s="55">
        <f>445586.99+2147.8</f>
        <v>447734.79</v>
      </c>
      <c r="G145" s="68">
        <f aca="true" t="shared" si="187" ref="G145:G166">SUM(C145:F145)</f>
        <v>1504696.87</v>
      </c>
      <c r="H145" s="17"/>
      <c r="J145" t="s">
        <v>186</v>
      </c>
      <c r="K145" s="29">
        <f t="shared" si="172"/>
        <v>0.9991189191095257</v>
      </c>
      <c r="L145" s="30">
        <f t="shared" si="182"/>
        <v>0.687818808093212</v>
      </c>
      <c r="M145" s="29">
        <f t="shared" si="173"/>
        <v>1.0121989822614887</v>
      </c>
      <c r="N145" s="30">
        <f t="shared" si="183"/>
        <v>1.4819454395532683</v>
      </c>
      <c r="O145" s="29">
        <f t="shared" si="174"/>
        <v>1.0415064771441163</v>
      </c>
      <c r="P145" s="30">
        <f t="shared" si="184"/>
        <v>1.5594270251811428</v>
      </c>
      <c r="Q145" s="29">
        <f t="shared" si="175"/>
        <v>1.0161725237451442</v>
      </c>
      <c r="R145" s="30">
        <f t="shared" si="185"/>
        <v>1.3943132369767346</v>
      </c>
      <c r="S145" s="29">
        <f t="shared" si="176"/>
        <v>1.0187637278139312</v>
      </c>
      <c r="T145" s="30">
        <f t="shared" si="186"/>
        <v>1.3200784112644415</v>
      </c>
      <c r="V145" s="50">
        <f t="shared" si="177"/>
        <v>0.20977011137133555</v>
      </c>
      <c r="W145" s="50">
        <f t="shared" si="178"/>
        <v>0.2074317001802496</v>
      </c>
      <c r="X145" s="50">
        <f t="shared" si="179"/>
        <v>0.2852400563576636</v>
      </c>
      <c r="Y145" s="50">
        <f t="shared" si="180"/>
        <v>0.2975581320907512</v>
      </c>
      <c r="Z145" s="50">
        <f t="shared" si="181"/>
        <v>1</v>
      </c>
    </row>
    <row r="146" spans="2:26" ht="13.5" customHeight="1">
      <c r="B146" s="16" t="s">
        <v>187</v>
      </c>
      <c r="C146" s="10">
        <f>228751.14+36903.95+38869.96</f>
        <v>304525.05000000005</v>
      </c>
      <c r="D146" s="67">
        <v>298934.37</v>
      </c>
      <c r="E146" s="67">
        <v>418478.85</v>
      </c>
      <c r="F146" s="55">
        <f>451064.29-381.71</f>
        <v>450682.57999999996</v>
      </c>
      <c r="G146" s="68">
        <f t="shared" si="187"/>
        <v>1472620.85</v>
      </c>
      <c r="H146" s="17"/>
      <c r="J146" t="s">
        <v>187</v>
      </c>
      <c r="K146" s="29">
        <f t="shared" si="172"/>
        <v>0.9647846760315211</v>
      </c>
      <c r="L146" s="30">
        <f t="shared" si="182"/>
        <v>0.6635970459345966</v>
      </c>
      <c r="M146" s="29">
        <f t="shared" si="173"/>
        <v>0.9577489982036821</v>
      </c>
      <c r="N146" s="30">
        <f t="shared" si="183"/>
        <v>1.419331760124658</v>
      </c>
      <c r="O146" s="29">
        <f t="shared" si="174"/>
        <v>0.9750210286667873</v>
      </c>
      <c r="P146" s="30">
        <f t="shared" si="184"/>
        <v>1.520474142222906</v>
      </c>
      <c r="Q146" s="29">
        <f t="shared" si="175"/>
        <v>1.0065837859059377</v>
      </c>
      <c r="R146" s="30">
        <f t="shared" si="185"/>
        <v>1.4034930968148043</v>
      </c>
      <c r="S146" s="29">
        <f t="shared" si="176"/>
        <v>0.9786827362776398</v>
      </c>
      <c r="T146" s="30">
        <f t="shared" si="186"/>
        <v>1.291937951637323</v>
      </c>
      <c r="V146" s="50">
        <f t="shared" si="177"/>
        <v>0.2067912117365444</v>
      </c>
      <c r="W146" s="50">
        <f t="shared" si="178"/>
        <v>0.2029947966579449</v>
      </c>
      <c r="X146" s="50">
        <f t="shared" si="179"/>
        <v>0.28417284055159203</v>
      </c>
      <c r="Y146" s="50">
        <f t="shared" si="180"/>
        <v>0.30604115105391855</v>
      </c>
      <c r="Z146" s="50">
        <f t="shared" si="181"/>
        <v>0.9999999999999998</v>
      </c>
    </row>
    <row r="147" spans="2:26" ht="13.5" customHeight="1">
      <c r="B147" s="16" t="s">
        <v>188</v>
      </c>
      <c r="C147" s="10">
        <f>306942.43+9806.26</f>
        <v>316748.69</v>
      </c>
      <c r="D147" s="67">
        <v>306836.51</v>
      </c>
      <c r="E147" s="67">
        <v>435178.03</v>
      </c>
      <c r="F147" s="55">
        <f>457096.56+690.37</f>
        <v>457786.93</v>
      </c>
      <c r="G147" s="68">
        <f t="shared" si="187"/>
        <v>1516550.16</v>
      </c>
      <c r="H147" s="17"/>
      <c r="J147" t="s">
        <v>188</v>
      </c>
      <c r="K147" s="29">
        <f aca="true" t="shared" si="188" ref="K147:K152">C147/C146</f>
        <v>1.0401400147541227</v>
      </c>
      <c r="L147" s="30">
        <f t="shared" si="182"/>
        <v>0.6902338411492035</v>
      </c>
      <c r="M147" s="29">
        <f aca="true" t="shared" si="189" ref="M147:M152">D147/D146</f>
        <v>1.0264343641716407</v>
      </c>
      <c r="N147" s="30">
        <f t="shared" si="183"/>
        <v>1.456850892752169</v>
      </c>
      <c r="O147" s="29">
        <f aca="true" t="shared" si="190" ref="O147:O152">E147/E146</f>
        <v>1.0399044778487612</v>
      </c>
      <c r="P147" s="30">
        <f t="shared" si="184"/>
        <v>1.581147868950854</v>
      </c>
      <c r="Q147" s="29">
        <f aca="true" t="shared" si="191" ref="Q147:Q152">F147/F146</f>
        <v>1.0157635336160542</v>
      </c>
      <c r="R147" s="30">
        <f t="shared" si="185"/>
        <v>1.4256171074263444</v>
      </c>
      <c r="S147" s="29">
        <f aca="true" t="shared" si="192" ref="S147:S152">G147/G146</f>
        <v>1.029830699463477</v>
      </c>
      <c r="T147" s="30">
        <f t="shared" si="186"/>
        <v>1.330477364398076</v>
      </c>
      <c r="V147" s="50">
        <f t="shared" si="177"/>
        <v>0.20886133433265408</v>
      </c>
      <c r="W147" s="50">
        <f t="shared" si="178"/>
        <v>0.20232532895581906</v>
      </c>
      <c r="X147" s="50">
        <f t="shared" si="179"/>
        <v>0.2869526122367097</v>
      </c>
      <c r="Y147" s="50">
        <f t="shared" si="180"/>
        <v>0.30186072447481727</v>
      </c>
      <c r="Z147" s="50">
        <f t="shared" si="181"/>
        <v>1</v>
      </c>
    </row>
    <row r="148" spans="2:26" ht="13.5" customHeight="1">
      <c r="B148" s="16" t="s">
        <v>189</v>
      </c>
      <c r="C148" s="10">
        <f>275083.11+14955+15023+20699.79</f>
        <v>325760.89999999997</v>
      </c>
      <c r="D148" s="67">
        <v>328626.89</v>
      </c>
      <c r="E148" s="67">
        <v>442903.99</v>
      </c>
      <c r="F148" s="55">
        <f>445189.86+1450.96</f>
        <v>446640.82</v>
      </c>
      <c r="G148" s="68">
        <f t="shared" si="187"/>
        <v>1543932.6</v>
      </c>
      <c r="H148" s="17"/>
      <c r="J148" t="s">
        <v>189</v>
      </c>
      <c r="K148" s="29">
        <f t="shared" si="188"/>
        <v>1.0284522407969547</v>
      </c>
      <c r="L148" s="30">
        <f>K148*L147</f>
        <v>0.7098725406037877</v>
      </c>
      <c r="M148" s="29">
        <f t="shared" si="189"/>
        <v>1.0710162555296956</v>
      </c>
      <c r="N148" s="30">
        <f>M148*N147</f>
        <v>1.5603109880205221</v>
      </c>
      <c r="O148" s="29">
        <f t="shared" si="190"/>
        <v>1.017753561686007</v>
      </c>
      <c r="P148" s="30">
        <f>O148*P147</f>
        <v>1.6092188751769714</v>
      </c>
      <c r="Q148" s="29">
        <f t="shared" si="191"/>
        <v>0.9756521882352561</v>
      </c>
      <c r="R148" s="30">
        <f>Q148*R147</f>
        <v>1.390906450446129</v>
      </c>
      <c r="S148" s="29">
        <f t="shared" si="192"/>
        <v>1.0180557430424855</v>
      </c>
      <c r="T148" s="30">
        <f>S148*T147</f>
        <v>1.354500121813491</v>
      </c>
      <c r="V148" s="50">
        <f>C148/G148</f>
        <v>0.21099424936036712</v>
      </c>
      <c r="W148" s="50">
        <f>D148/G148</f>
        <v>0.2128505415327068</v>
      </c>
      <c r="X148" s="50">
        <f>E148/G148</f>
        <v>0.28686743838429213</v>
      </c>
      <c r="Y148" s="50">
        <f>F148/G148</f>
        <v>0.28928777072263384</v>
      </c>
      <c r="Z148" s="50">
        <f>SUM(V148:Y148)</f>
        <v>0.9999999999999998</v>
      </c>
    </row>
    <row r="149" spans="2:26" ht="13.5" customHeight="1">
      <c r="B149" s="16" t="s">
        <v>231</v>
      </c>
      <c r="C149" s="10">
        <f>238119.39+28140.36+47269.76</f>
        <v>313529.51</v>
      </c>
      <c r="D149" s="67">
        <v>314354.32</v>
      </c>
      <c r="E149" s="67">
        <v>428607.62</v>
      </c>
      <c r="F149" s="55">
        <f>449185.13+3258.92</f>
        <v>452444.05</v>
      </c>
      <c r="G149" s="68">
        <f t="shared" si="187"/>
        <v>1508935.5000000002</v>
      </c>
      <c r="H149" s="17"/>
      <c r="J149" t="s">
        <v>190</v>
      </c>
      <c r="K149" s="29">
        <f t="shared" si="188"/>
        <v>0.9624528603647646</v>
      </c>
      <c r="L149" s="30">
        <f>K149*L148</f>
        <v>0.6832188571985179</v>
      </c>
      <c r="M149" s="29">
        <f t="shared" si="189"/>
        <v>0.956569074429667</v>
      </c>
      <c r="N149" s="30">
        <f>M149*N148</f>
        <v>1.49254523763323</v>
      </c>
      <c r="O149" s="29">
        <f t="shared" si="190"/>
        <v>0.9677212887605732</v>
      </c>
      <c r="P149" s="30">
        <f>O149*P148</f>
        <v>1.5572753637840986</v>
      </c>
      <c r="Q149" s="29">
        <f t="shared" si="191"/>
        <v>1.0129930578221669</v>
      </c>
      <c r="R149" s="30">
        <f>Q149*R148</f>
        <v>1.4089785783820004</v>
      </c>
      <c r="S149" s="29">
        <f t="shared" si="192"/>
        <v>0.9773324949547669</v>
      </c>
      <c r="T149" s="30">
        <f>S149*T148</f>
        <v>1.323796983468515</v>
      </c>
      <c r="V149" s="50">
        <f>C149/G149</f>
        <v>0.20778191645699898</v>
      </c>
      <c r="W149" s="50">
        <f>D149/G149</f>
        <v>0.20832853359205875</v>
      </c>
      <c r="X149" s="50">
        <f>E149/G149</f>
        <v>0.28404634923096445</v>
      </c>
      <c r="Y149" s="50">
        <f>F149/G149</f>
        <v>0.2998432007199777</v>
      </c>
      <c r="Z149" s="50">
        <f>SUM(V149:Y149)</f>
        <v>0.9999999999999999</v>
      </c>
    </row>
    <row r="150" spans="2:26" ht="13.5" customHeight="1">
      <c r="B150" s="16" t="s">
        <v>191</v>
      </c>
      <c r="C150" s="10">
        <f>226168.52+28884.52+68257.9</f>
        <v>323310.93999999994</v>
      </c>
      <c r="D150" s="67">
        <v>326720.42</v>
      </c>
      <c r="E150" s="67">
        <v>440046.5</v>
      </c>
      <c r="F150" s="55">
        <f>450397.73+4098.93</f>
        <v>454496.66</v>
      </c>
      <c r="G150" s="68">
        <f t="shared" si="187"/>
        <v>1544574.5199999998</v>
      </c>
      <c r="H150" s="17"/>
      <c r="J150" t="s">
        <v>191</v>
      </c>
      <c r="K150" s="29">
        <f t="shared" si="188"/>
        <v>1.0311977969793016</v>
      </c>
      <c r="L150" s="30">
        <f>K150*L149</f>
        <v>0.7045337803978278</v>
      </c>
      <c r="M150" s="29">
        <f t="shared" si="189"/>
        <v>1.0393380946697344</v>
      </c>
      <c r="N150" s="30">
        <f>M150*N149</f>
        <v>1.5512591234901072</v>
      </c>
      <c r="O150" s="29">
        <f t="shared" si="190"/>
        <v>1.026688466247987</v>
      </c>
      <c r="P150" s="30">
        <f>O150*P149</f>
        <v>1.598836654769272</v>
      </c>
      <c r="Q150" s="29">
        <f t="shared" si="191"/>
        <v>1.00453671564473</v>
      </c>
      <c r="R150" s="30">
        <f>Q150*R149</f>
        <v>1.4153707135416354</v>
      </c>
      <c r="S150" s="29">
        <f t="shared" si="192"/>
        <v>1.0236186503664335</v>
      </c>
      <c r="T150" s="30">
        <f>S150*T149</f>
        <v>1.3550632815771972</v>
      </c>
      <c r="V150" s="50">
        <f>C150/G150</f>
        <v>0.20932038941054135</v>
      </c>
      <c r="W150" s="50">
        <f>D150/G150</f>
        <v>0.21152778047898915</v>
      </c>
      <c r="X150" s="50">
        <f>E150/G150</f>
        <v>0.28489819966731034</v>
      </c>
      <c r="Y150" s="50">
        <f>F150/G150</f>
        <v>0.2942536304431592</v>
      </c>
      <c r="Z150" s="50">
        <f>SUM(V150:Y150)</f>
        <v>1</v>
      </c>
    </row>
    <row r="151" spans="2:26" ht="13.5" customHeight="1">
      <c r="B151" s="16" t="s">
        <v>192</v>
      </c>
      <c r="C151" s="10">
        <f>305785.44+27565.73</f>
        <v>333351.17</v>
      </c>
      <c r="D151" s="67">
        <v>345556.23</v>
      </c>
      <c r="E151" s="67">
        <v>468002.61</v>
      </c>
      <c r="F151" s="55">
        <f>451214.01+4633.48</f>
        <v>455847.49</v>
      </c>
      <c r="G151" s="68">
        <f t="shared" si="187"/>
        <v>1602757.4999999998</v>
      </c>
      <c r="H151" s="17"/>
      <c r="J151" t="s">
        <v>192</v>
      </c>
      <c r="K151" s="29">
        <f t="shared" si="188"/>
        <v>1.0310544084898583</v>
      </c>
      <c r="L151" s="30">
        <f>K151*L150</f>
        <v>0.726412660209206</v>
      </c>
      <c r="M151" s="29">
        <f t="shared" si="189"/>
        <v>1.057651156300546</v>
      </c>
      <c r="N151" s="30">
        <f>M151*N150</f>
        <v>1.6406910056810833</v>
      </c>
      <c r="O151" s="29">
        <f t="shared" si="190"/>
        <v>1.0635298996810565</v>
      </c>
      <c r="P151" s="30">
        <f>O151*P150</f>
        <v>1.7004105870531598</v>
      </c>
      <c r="Q151" s="29">
        <f t="shared" si="191"/>
        <v>1.0029721450538274</v>
      </c>
      <c r="R151" s="30">
        <f>Q151*R150</f>
        <v>1.4195774006072202</v>
      </c>
      <c r="S151" s="29">
        <f t="shared" si="192"/>
        <v>1.037669260528783</v>
      </c>
      <c r="T151" s="30">
        <f>S151*T150</f>
        <v>1.4061075133639163</v>
      </c>
      <c r="V151" s="50">
        <f>C151/G151</f>
        <v>0.2079860303258603</v>
      </c>
      <c r="W151" s="50">
        <f>D151/G151</f>
        <v>0.2156010687830193</v>
      </c>
      <c r="X151" s="50">
        <f>E151/G151</f>
        <v>0.2919983902742617</v>
      </c>
      <c r="Y151" s="50">
        <f>F151/G151</f>
        <v>0.2844145106168588</v>
      </c>
      <c r="Z151" s="50">
        <f>SUM(V151:Y151)</f>
        <v>1</v>
      </c>
    </row>
    <row r="152" spans="2:26" ht="13.5" customHeight="1">
      <c r="B152" s="16" t="s">
        <v>193</v>
      </c>
      <c r="C152" s="10">
        <f>316100.61+27014.63</f>
        <v>343115.24</v>
      </c>
      <c r="D152" s="67">
        <v>367821.4</v>
      </c>
      <c r="E152" s="67">
        <v>473903.42</v>
      </c>
      <c r="F152" s="55">
        <f>454362.06+4584.69</f>
        <v>458946.75</v>
      </c>
      <c r="G152" s="68">
        <f t="shared" si="187"/>
        <v>1643786.81</v>
      </c>
      <c r="H152" s="17"/>
      <c r="J152" t="s">
        <v>193</v>
      </c>
      <c r="K152" s="29">
        <f t="shared" si="188"/>
        <v>1.0292906426577113</v>
      </c>
      <c r="L152" s="30">
        <f>K152*L151</f>
        <v>0.7476897538614313</v>
      </c>
      <c r="M152" s="29">
        <f t="shared" si="189"/>
        <v>1.0644328420876685</v>
      </c>
      <c r="N152" s="30">
        <f>M152*N151</f>
        <v>1.7464053901647907</v>
      </c>
      <c r="O152" s="29">
        <f t="shared" si="190"/>
        <v>1.0126084980594445</v>
      </c>
      <c r="P152" s="30">
        <f>O152*P151</f>
        <v>1.7218502106402784</v>
      </c>
      <c r="Q152" s="29">
        <f t="shared" si="191"/>
        <v>1.0067988967099502</v>
      </c>
      <c r="R152" s="30">
        <f>Q152*R151</f>
        <v>1.4292289607257282</v>
      </c>
      <c r="S152" s="29">
        <f t="shared" si="192"/>
        <v>1.0255992001285286</v>
      </c>
      <c r="T152" s="30">
        <f>S152*T151</f>
        <v>1.4421027410007468</v>
      </c>
      <c r="V152" s="50">
        <f>C152/G152</f>
        <v>0.20873463511974524</v>
      </c>
      <c r="W152" s="50">
        <f>D152/G152</f>
        <v>0.2237646620366786</v>
      </c>
      <c r="X152" s="50">
        <f>E152/G152</f>
        <v>0.28829980695611007</v>
      </c>
      <c r="Y152" s="50">
        <f>F152/G152</f>
        <v>0.2792008958874661</v>
      </c>
      <c r="Z152" s="50">
        <f>SUM(V152:Y152)</f>
        <v>1</v>
      </c>
    </row>
    <row r="153" spans="2:26" ht="13.5" customHeight="1">
      <c r="B153" s="24" t="s">
        <v>194</v>
      </c>
      <c r="C153" s="25">
        <v>-16700</v>
      </c>
      <c r="D153" s="59">
        <v>-17300</v>
      </c>
      <c r="E153" s="59">
        <v>-23400</v>
      </c>
      <c r="F153" s="59">
        <v>-22800</v>
      </c>
      <c r="G153" s="82">
        <f t="shared" si="187"/>
        <v>-80200</v>
      </c>
      <c r="H153" s="17"/>
      <c r="J153" t="s">
        <v>194</v>
      </c>
      <c r="K153" s="29"/>
      <c r="L153" s="30"/>
      <c r="M153" s="29"/>
      <c r="N153" s="30"/>
      <c r="O153" s="29"/>
      <c r="P153" s="30"/>
      <c r="Q153" s="29"/>
      <c r="R153" s="30"/>
      <c r="S153" s="29"/>
      <c r="T153" s="30"/>
      <c r="V153" s="50"/>
      <c r="W153" s="50"/>
      <c r="X153" s="50"/>
      <c r="Y153" s="50"/>
      <c r="Z153" s="50"/>
    </row>
    <row r="154" spans="2:26" ht="13.5" customHeight="1">
      <c r="B154" s="24" t="s">
        <v>195</v>
      </c>
      <c r="C154" s="25">
        <f>C152+C153</f>
        <v>326415.24</v>
      </c>
      <c r="D154" s="25">
        <f>D152+D153</f>
        <v>350521.4</v>
      </c>
      <c r="E154" s="25">
        <f>E152+E153</f>
        <v>450503.42</v>
      </c>
      <c r="F154" s="25">
        <f>F152+F153</f>
        <v>436146.75</v>
      </c>
      <c r="G154" s="75">
        <f t="shared" si="187"/>
        <v>1563586.81</v>
      </c>
      <c r="H154" s="17"/>
      <c r="J154" t="s">
        <v>195</v>
      </c>
      <c r="K154" s="29"/>
      <c r="L154" s="30"/>
      <c r="M154" s="29"/>
      <c r="N154" s="30"/>
      <c r="O154" s="29"/>
      <c r="P154" s="30"/>
      <c r="Q154" s="29"/>
      <c r="R154" s="30"/>
      <c r="S154" s="29"/>
      <c r="T154" s="30"/>
      <c r="V154" s="50"/>
      <c r="W154" s="50"/>
      <c r="X154" s="50"/>
      <c r="Y154" s="50"/>
      <c r="Z154" s="50"/>
    </row>
    <row r="155" spans="2:26" ht="13.5" customHeight="1">
      <c r="B155" s="24" t="s">
        <v>200</v>
      </c>
      <c r="C155" s="25">
        <v>89000</v>
      </c>
      <c r="D155" s="25">
        <f>49600+37950</f>
        <v>87550</v>
      </c>
      <c r="E155" s="25">
        <v>-37950</v>
      </c>
      <c r="F155" s="25">
        <v>-138600</v>
      </c>
      <c r="G155" s="82">
        <f t="shared" si="187"/>
        <v>0</v>
      </c>
      <c r="H155" s="17"/>
      <c r="J155" t="s">
        <v>200</v>
      </c>
      <c r="K155" s="88" t="s">
        <v>201</v>
      </c>
      <c r="L155" s="85"/>
      <c r="M155" s="86"/>
      <c r="N155" s="85"/>
      <c r="O155" s="86"/>
      <c r="P155" s="85"/>
      <c r="Q155" s="86"/>
      <c r="R155" s="85"/>
      <c r="S155" s="86"/>
      <c r="T155" s="87"/>
      <c r="V155" s="88" t="s">
        <v>202</v>
      </c>
      <c r="W155" s="89"/>
      <c r="X155" s="89"/>
      <c r="Y155" s="89"/>
      <c r="Z155" s="90"/>
    </row>
    <row r="156" spans="2:26" ht="13.5" customHeight="1">
      <c r="B156" s="24" t="s">
        <v>195</v>
      </c>
      <c r="C156" s="25">
        <f>C154+C155</f>
        <v>415415.24</v>
      </c>
      <c r="D156" s="25">
        <f>D154+D155</f>
        <v>438071.4</v>
      </c>
      <c r="E156" s="25">
        <f>E154+E155</f>
        <v>412553.42</v>
      </c>
      <c r="F156" s="25">
        <f>F154+F155</f>
        <v>297546.75</v>
      </c>
      <c r="G156" s="75">
        <f>SUM(C156:F156)</f>
        <v>1563586.81</v>
      </c>
      <c r="H156" s="17"/>
      <c r="J156" t="s">
        <v>195</v>
      </c>
      <c r="K156" s="29"/>
      <c r="L156" s="30"/>
      <c r="M156" s="29"/>
      <c r="N156" s="30"/>
      <c r="O156" s="29"/>
      <c r="P156" s="30"/>
      <c r="Q156" s="29"/>
      <c r="R156" s="30"/>
      <c r="S156" s="29"/>
      <c r="T156" s="30"/>
      <c r="V156" s="50"/>
      <c r="W156" s="50"/>
      <c r="X156" s="50"/>
      <c r="Y156" s="50"/>
      <c r="Z156" s="50"/>
    </row>
    <row r="157" spans="2:26" ht="13.5" customHeight="1">
      <c r="B157" s="16" t="s">
        <v>196</v>
      </c>
      <c r="C157" s="10">
        <f>213138.7+174033.32</f>
        <v>387172.02</v>
      </c>
      <c r="D157" s="67">
        <v>415865.01</v>
      </c>
      <c r="E157" s="67">
        <v>380266.52</v>
      </c>
      <c r="F157" s="55">
        <f>282478.86+9631.25+5344.84</f>
        <v>297454.95</v>
      </c>
      <c r="G157" s="68">
        <f t="shared" si="187"/>
        <v>1480758.5</v>
      </c>
      <c r="H157" s="17"/>
      <c r="J157" t="s">
        <v>196</v>
      </c>
      <c r="K157" s="91">
        <f>(C157-C155)/(C152+C153)</f>
        <v>0.9134745669350488</v>
      </c>
      <c r="L157" s="92">
        <f>K157*L152</f>
        <v>0.6829955741103442</v>
      </c>
      <c r="M157" s="91">
        <f>(D157-D155)/(D152+D153)</f>
        <v>0.9366475484806348</v>
      </c>
      <c r="N157" s="92">
        <f>M157*N152</f>
        <v>1.6357663273512177</v>
      </c>
      <c r="O157" s="91">
        <f>(E157-E155)/(E152+E153)</f>
        <v>0.9283315096697824</v>
      </c>
      <c r="P157" s="92">
        <f>O157*P152</f>
        <v>1.5984478054689224</v>
      </c>
      <c r="Q157" s="91">
        <f>(F157-F155)/(F152+F153)</f>
        <v>0.9997895203850539</v>
      </c>
      <c r="R157" s="92">
        <f>Q157*R152</f>
        <v>1.428928137164405</v>
      </c>
      <c r="S157" s="91">
        <f>G157/G154</f>
        <v>0.9470267276045901</v>
      </c>
      <c r="T157" s="92">
        <f>S157*T152</f>
        <v>1.3657098396795468</v>
      </c>
      <c r="V157" s="50">
        <f aca="true" t="shared" si="193" ref="V157:V162">C157/G157</f>
        <v>0.2614687135005472</v>
      </c>
      <c r="W157" s="50">
        <f aca="true" t="shared" si="194" ref="W157:W162">D157/G157</f>
        <v>0.28084593807835645</v>
      </c>
      <c r="X157" s="50">
        <f aca="true" t="shared" si="195" ref="X157:X162">E157/G157</f>
        <v>0.25680522515994336</v>
      </c>
      <c r="Y157" s="50">
        <f aca="true" t="shared" si="196" ref="Y157:Y162">F157/G157</f>
        <v>0.20088012326115298</v>
      </c>
      <c r="Z157" s="50">
        <f aca="true" t="shared" si="197" ref="Z157:Z162">SUM(V157:Y157)</f>
        <v>1</v>
      </c>
    </row>
    <row r="158" spans="2:26" ht="13.5" customHeight="1">
      <c r="B158" s="16" t="s">
        <v>197</v>
      </c>
      <c r="C158" s="10">
        <f>239995.27+143301.7</f>
        <v>383296.97</v>
      </c>
      <c r="D158" s="67">
        <v>410154.51</v>
      </c>
      <c r="E158" s="67">
        <v>360796.69</v>
      </c>
      <c r="F158" s="55">
        <f>257100.94+9703.7+35555.08</f>
        <v>302359.72000000003</v>
      </c>
      <c r="G158" s="68">
        <f t="shared" si="187"/>
        <v>1456607.89</v>
      </c>
      <c r="H158" s="17"/>
      <c r="J158" t="s">
        <v>197</v>
      </c>
      <c r="K158" s="29">
        <f aca="true" t="shared" si="198" ref="K158:K163">C158/C157</f>
        <v>0.9899913996884381</v>
      </c>
      <c r="L158" s="30">
        <f aca="true" t="shared" si="199" ref="L158:L163">K158*L157</f>
        <v>0.676159744394508</v>
      </c>
      <c r="M158" s="29">
        <f aca="true" t="shared" si="200" ref="M158:M163">D158/D157</f>
        <v>0.9862683806940141</v>
      </c>
      <c r="N158" s="30">
        <f aca="true" t="shared" si="201" ref="N158:N163">M158*N157</f>
        <v>1.6133046068704802</v>
      </c>
      <c r="O158" s="29">
        <f aca="true" t="shared" si="202" ref="O158:O163">E158/E157</f>
        <v>0.9487995156660123</v>
      </c>
      <c r="P158" s="30">
        <f aca="true" t="shared" si="203" ref="P158:P163">O158*P157</f>
        <v>1.5166065036463139</v>
      </c>
      <c r="Q158" s="29">
        <f aca="true" t="shared" si="204" ref="Q158:Q163">F158/F157</f>
        <v>1.0164891187724394</v>
      </c>
      <c r="R158" s="30">
        <f aca="true" t="shared" si="205" ref="R158:R163">Q158*R157</f>
        <v>1.4524899029353895</v>
      </c>
      <c r="S158" s="29">
        <f aca="true" t="shared" si="206" ref="S158:S163">G158/G157</f>
        <v>0.9836903789510578</v>
      </c>
      <c r="T158" s="30">
        <f aca="true" t="shared" si="207" ref="T158:T163">S158*T157</f>
        <v>1.343435629731562</v>
      </c>
      <c r="V158" s="50">
        <f t="shared" si="193"/>
        <v>0.2631435492224335</v>
      </c>
      <c r="W158" s="50">
        <f t="shared" si="194"/>
        <v>0.28158196369511634</v>
      </c>
      <c r="X158" s="50">
        <f t="shared" si="195"/>
        <v>0.24769650945663904</v>
      </c>
      <c r="Y158" s="50">
        <f t="shared" si="196"/>
        <v>0.2075779776258112</v>
      </c>
      <c r="Z158" s="50">
        <f t="shared" si="197"/>
        <v>1</v>
      </c>
    </row>
    <row r="159" spans="2:26" ht="13.5" customHeight="1">
      <c r="B159" s="16" t="s">
        <v>198</v>
      </c>
      <c r="C159" s="10">
        <f>220427.05+176259.4</f>
        <v>396686.44999999995</v>
      </c>
      <c r="D159" s="67">
        <v>423557.85</v>
      </c>
      <c r="E159" s="67">
        <v>382852.15</v>
      </c>
      <c r="F159" s="55">
        <f>273975.58+31929.02</f>
        <v>305904.60000000003</v>
      </c>
      <c r="G159" s="68">
        <f t="shared" si="187"/>
        <v>1509001.05</v>
      </c>
      <c r="H159" s="17"/>
      <c r="J159" t="s">
        <v>198</v>
      </c>
      <c r="K159" s="29">
        <f t="shared" si="198"/>
        <v>1.0349323919779485</v>
      </c>
      <c r="L159" s="30">
        <f t="shared" si="199"/>
        <v>0.6997796216254064</v>
      </c>
      <c r="M159" s="29">
        <f t="shared" si="200"/>
        <v>1.0326787580611998</v>
      </c>
      <c r="N159" s="30">
        <f t="shared" si="201"/>
        <v>1.6660253977974195</v>
      </c>
      <c r="O159" s="29">
        <f t="shared" si="202"/>
        <v>1.0611298845341404</v>
      </c>
      <c r="P159" s="30">
        <f t="shared" si="203"/>
        <v>1.6093164840979395</v>
      </c>
      <c r="Q159" s="29">
        <f t="shared" si="204"/>
        <v>1.0117240484281438</v>
      </c>
      <c r="R159" s="30">
        <f t="shared" si="205"/>
        <v>1.4695189648987939</v>
      </c>
      <c r="S159" s="29">
        <f t="shared" si="206"/>
        <v>1.035969295758792</v>
      </c>
      <c r="T159" s="30">
        <f t="shared" si="207"/>
        <v>1.3917580632302755</v>
      </c>
      <c r="V159" s="50">
        <f t="shared" si="193"/>
        <v>0.26288016830737126</v>
      </c>
      <c r="W159" s="50">
        <f t="shared" si="194"/>
        <v>0.28068757805039296</v>
      </c>
      <c r="X159" s="50">
        <f t="shared" si="195"/>
        <v>0.25371231517698417</v>
      </c>
      <c r="Y159" s="50">
        <f t="shared" si="196"/>
        <v>0.20271993846525158</v>
      </c>
      <c r="Z159" s="50">
        <f t="shared" si="197"/>
        <v>1</v>
      </c>
    </row>
    <row r="160" spans="2:26" ht="13.5" customHeight="1">
      <c r="B160" s="16" t="s">
        <v>199</v>
      </c>
      <c r="C160" s="10">
        <f>220956.93+166515.2</f>
        <v>387472.13</v>
      </c>
      <c r="D160" s="67">
        <v>414356.17</v>
      </c>
      <c r="E160" s="67">
        <v>368972.43</v>
      </c>
      <c r="F160" s="55">
        <f>277968.02+32500.72</f>
        <v>310468.74</v>
      </c>
      <c r="G160" s="68">
        <f t="shared" si="187"/>
        <v>1481269.47</v>
      </c>
      <c r="H160" s="17"/>
      <c r="J160" t="s">
        <v>199</v>
      </c>
      <c r="K160" s="29">
        <f t="shared" si="198"/>
        <v>0.9767717803317962</v>
      </c>
      <c r="L160" s="30">
        <f t="shared" si="199"/>
        <v>0.683524986854959</v>
      </c>
      <c r="M160" s="29">
        <f t="shared" si="200"/>
        <v>0.9782752698362219</v>
      </c>
      <c r="N160" s="30">
        <f t="shared" si="201"/>
        <v>1.6298314455842695</v>
      </c>
      <c r="O160" s="29">
        <f t="shared" si="202"/>
        <v>0.9637465272168381</v>
      </c>
      <c r="P160" s="30">
        <f t="shared" si="203"/>
        <v>1.550973172742201</v>
      </c>
      <c r="Q160" s="29">
        <f t="shared" si="204"/>
        <v>1.014920141769689</v>
      </c>
      <c r="R160" s="30">
        <f t="shared" si="205"/>
        <v>1.4914443961883304</v>
      </c>
      <c r="S160" s="29">
        <f t="shared" si="206"/>
        <v>0.9816225575190951</v>
      </c>
      <c r="T160" s="30">
        <f t="shared" si="207"/>
        <v>1.3661811094759255</v>
      </c>
      <c r="V160" s="50">
        <f t="shared" si="193"/>
        <v>0.261581122035817</v>
      </c>
      <c r="W160" s="50">
        <f t="shared" si="194"/>
        <v>0.2797304463447829</v>
      </c>
      <c r="X160" s="50">
        <f t="shared" si="195"/>
        <v>0.2490920372509939</v>
      </c>
      <c r="Y160" s="50">
        <f t="shared" si="196"/>
        <v>0.20959639436840619</v>
      </c>
      <c r="Z160" s="50">
        <f t="shared" si="197"/>
        <v>1</v>
      </c>
    </row>
    <row r="161" spans="2:26" ht="13.5" customHeight="1">
      <c r="B161" s="16" t="s">
        <v>203</v>
      </c>
      <c r="C161" s="10">
        <f>228044.65+184902.59</f>
        <v>412947.24</v>
      </c>
      <c r="D161" s="67">
        <v>442384.74</v>
      </c>
      <c r="E161" s="67">
        <v>396295.89</v>
      </c>
      <c r="F161" s="55">
        <f>278372.62+33296.19</f>
        <v>311668.81</v>
      </c>
      <c r="G161" s="68">
        <f t="shared" si="187"/>
        <v>1563296.6800000002</v>
      </c>
      <c r="H161" s="17"/>
      <c r="J161" t="s">
        <v>203</v>
      </c>
      <c r="K161" s="29">
        <f t="shared" si="198"/>
        <v>1.0657469480450117</v>
      </c>
      <c r="L161" s="30">
        <f t="shared" si="199"/>
        <v>0.7284646686531793</v>
      </c>
      <c r="M161" s="29">
        <f t="shared" si="200"/>
        <v>1.067643665110622</v>
      </c>
      <c r="N161" s="30">
        <f t="shared" si="201"/>
        <v>1.7400792180761329</v>
      </c>
      <c r="O161" s="29">
        <f t="shared" si="202"/>
        <v>1.074052849964969</v>
      </c>
      <c r="P161" s="30">
        <f t="shared" si="203"/>
        <v>1.6658271564029712</v>
      </c>
      <c r="Q161" s="29">
        <f t="shared" si="204"/>
        <v>1.003865348891486</v>
      </c>
      <c r="R161" s="30">
        <f t="shared" si="205"/>
        <v>1.4972093491318499</v>
      </c>
      <c r="S161" s="29">
        <f t="shared" si="206"/>
        <v>1.055376291526484</v>
      </c>
      <c r="T161" s="30">
        <f t="shared" si="207"/>
        <v>1.4418351528722397</v>
      </c>
      <c r="V161" s="50">
        <f t="shared" si="193"/>
        <v>0.26415154927598256</v>
      </c>
      <c r="W161" s="50">
        <f t="shared" si="194"/>
        <v>0.2829819481226046</v>
      </c>
      <c r="X161" s="50">
        <f t="shared" si="195"/>
        <v>0.2535001161775639</v>
      </c>
      <c r="Y161" s="50">
        <f t="shared" si="196"/>
        <v>0.19936638642384885</v>
      </c>
      <c r="Z161" s="50">
        <f t="shared" si="197"/>
        <v>0.9999999999999998</v>
      </c>
    </row>
    <row r="162" spans="2:26" ht="13.5" customHeight="1">
      <c r="B162" s="16" t="s">
        <v>204</v>
      </c>
      <c r="C162" s="10">
        <f>191345.43+203922.67-10437.4+35777.75</f>
        <v>420608.44999999995</v>
      </c>
      <c r="D162" s="67">
        <v>451713.48</v>
      </c>
      <c r="E162" s="67">
        <v>404368.94</v>
      </c>
      <c r="F162" s="55">
        <f>268624.92+10437.4+33385.92</f>
        <v>312448.24</v>
      </c>
      <c r="G162" s="68">
        <f t="shared" si="187"/>
        <v>1589139.1099999999</v>
      </c>
      <c r="H162" s="17"/>
      <c r="J162" t="s">
        <v>204</v>
      </c>
      <c r="K162" s="29">
        <f t="shared" si="198"/>
        <v>1.0185525153285926</v>
      </c>
      <c r="L162" s="30">
        <f t="shared" si="199"/>
        <v>0.7419795205847055</v>
      </c>
      <c r="M162" s="29">
        <f t="shared" si="200"/>
        <v>1.021087391034329</v>
      </c>
      <c r="N162" s="30">
        <f t="shared" si="201"/>
        <v>1.7767729489784136</v>
      </c>
      <c r="O162" s="29">
        <f t="shared" si="202"/>
        <v>1.0203712685488613</v>
      </c>
      <c r="P162" s="30">
        <f t="shared" si="203"/>
        <v>1.6997621687620421</v>
      </c>
      <c r="Q162" s="29">
        <f t="shared" si="204"/>
        <v>1.0025008277215806</v>
      </c>
      <c r="R162" s="30">
        <f t="shared" si="205"/>
        <v>1.5009536117771685</v>
      </c>
      <c r="S162" s="29">
        <f t="shared" si="206"/>
        <v>1.0165307265924723</v>
      </c>
      <c r="T162" s="30">
        <f t="shared" si="207"/>
        <v>1.4656697355757864</v>
      </c>
      <c r="V162" s="50">
        <f t="shared" si="193"/>
        <v>0.26467692309202556</v>
      </c>
      <c r="W162" s="50">
        <f t="shared" si="194"/>
        <v>0.2842504329278008</v>
      </c>
      <c r="X162" s="50">
        <f t="shared" si="195"/>
        <v>0.2544578617790107</v>
      </c>
      <c r="Y162" s="50">
        <f t="shared" si="196"/>
        <v>0.196614782201163</v>
      </c>
      <c r="Z162" s="50">
        <f t="shared" si="197"/>
        <v>1</v>
      </c>
    </row>
    <row r="163" spans="2:26" ht="13.5" customHeight="1">
      <c r="B163" s="16" t="s">
        <v>205</v>
      </c>
      <c r="C163" s="10">
        <f>334726.2+121676.15-10449.82-21236.26</f>
        <v>424716.26999999996</v>
      </c>
      <c r="D163" s="67">
        <v>471202.4</v>
      </c>
      <c r="E163" s="67">
        <v>407680.14</v>
      </c>
      <c r="F163" s="55">
        <f>265389.14+10449.82+33959.89</f>
        <v>309798.85000000003</v>
      </c>
      <c r="G163" s="68">
        <f t="shared" si="187"/>
        <v>1613397.6600000001</v>
      </c>
      <c r="H163" s="17"/>
      <c r="J163" t="s">
        <v>205</v>
      </c>
      <c r="K163" s="29">
        <f t="shared" si="198"/>
        <v>1.0097663753545607</v>
      </c>
      <c r="L163" s="30">
        <f t="shared" si="199"/>
        <v>0.7492259710881327</v>
      </c>
      <c r="M163" s="29">
        <f t="shared" si="200"/>
        <v>1.0431444286320612</v>
      </c>
      <c r="N163" s="30">
        <f t="shared" si="201"/>
        <v>1.8534308026709898</v>
      </c>
      <c r="O163" s="29">
        <f t="shared" si="202"/>
        <v>1.0081885616635144</v>
      </c>
      <c r="P163" s="30">
        <f t="shared" si="203"/>
        <v>1.7136807760942592</v>
      </c>
      <c r="Q163" s="29">
        <f t="shared" si="204"/>
        <v>0.9915205475313289</v>
      </c>
      <c r="R163" s="30">
        <f t="shared" si="205"/>
        <v>1.4882263469684238</v>
      </c>
      <c r="S163" s="29">
        <f t="shared" si="206"/>
        <v>1.0152652148873236</v>
      </c>
      <c r="T163" s="30">
        <f t="shared" si="207"/>
        <v>1.4880434990431974</v>
      </c>
      <c r="V163" s="50">
        <f aca="true" t="shared" si="208" ref="V163:V168">C163/G163</f>
        <v>0.26324339034928307</v>
      </c>
      <c r="W163" s="50">
        <f aca="true" t="shared" si="209" ref="W163:W168">D163/G163</f>
        <v>0.29205595847957283</v>
      </c>
      <c r="X163" s="50">
        <f aca="true" t="shared" si="210" ref="X163:X168">E163/G163</f>
        <v>0.25268422665246704</v>
      </c>
      <c r="Y163" s="50">
        <f aca="true" t="shared" si="211" ref="Y163:Y168">F163/G163</f>
        <v>0.19201642451867695</v>
      </c>
      <c r="Z163" s="50">
        <f aca="true" t="shared" si="212" ref="Z163:Z168">SUM(V163:Y163)</f>
        <v>0.9999999999999999</v>
      </c>
    </row>
    <row r="164" spans="2:26" ht="13.5" customHeight="1">
      <c r="B164" s="16" t="s">
        <v>206</v>
      </c>
      <c r="C164" s="10">
        <f>340374.67+95867.35-10256.25+11785.12</f>
        <v>437770.89</v>
      </c>
      <c r="D164" s="67">
        <v>495573.59</v>
      </c>
      <c r="E164" s="67">
        <v>438513.65</v>
      </c>
      <c r="F164" s="55">
        <f>263008.67+10256.25+34795.12</f>
        <v>308060.04</v>
      </c>
      <c r="G164" s="68">
        <f t="shared" si="187"/>
        <v>1679918.17</v>
      </c>
      <c r="H164" s="17"/>
      <c r="J164" t="s">
        <v>206</v>
      </c>
      <c r="K164" s="29">
        <f>C164/C163</f>
        <v>1.030737273144728</v>
      </c>
      <c r="L164" s="30">
        <f>K164*L163</f>
        <v>0.7722551344085927</v>
      </c>
      <c r="M164" s="29">
        <f>D164/D163</f>
        <v>1.0517212773109814</v>
      </c>
      <c r="N164" s="30">
        <f>M164*N163</f>
        <v>1.949292611192651</v>
      </c>
      <c r="O164" s="29">
        <f>E164/E163</f>
        <v>1.0756316213980892</v>
      </c>
      <c r="P164" s="30">
        <f>O164*P163</f>
        <v>1.843289231749004</v>
      </c>
      <c r="Q164" s="29">
        <f>F164/F163</f>
        <v>0.9943872935616125</v>
      </c>
      <c r="R164" s="30">
        <f>Q164*R163</f>
        <v>1.4798733693690163</v>
      </c>
      <c r="S164" s="29">
        <f>G164/G163</f>
        <v>1.0412300771528327</v>
      </c>
      <c r="T164" s="30">
        <f>S164*T163</f>
        <v>1.5493956473155195</v>
      </c>
      <c r="V164" s="50">
        <f t="shared" si="208"/>
        <v>0.26059060364827175</v>
      </c>
      <c r="W164" s="50">
        <f t="shared" si="209"/>
        <v>0.29499864865441633</v>
      </c>
      <c r="X164" s="50">
        <f t="shared" si="210"/>
        <v>0.26103274423182177</v>
      </c>
      <c r="Y164" s="50">
        <f t="shared" si="211"/>
        <v>0.1833780034654902</v>
      </c>
      <c r="Z164" s="50">
        <f t="shared" si="212"/>
        <v>1</v>
      </c>
    </row>
    <row r="165" spans="2:26" ht="13.5" customHeight="1">
      <c r="B165" s="16" t="s">
        <v>232</v>
      </c>
      <c r="C165" s="10">
        <f>322587.71+110865.9+23838.72</f>
        <v>457292.32999999996</v>
      </c>
      <c r="D165" s="67">
        <v>491480.58</v>
      </c>
      <c r="E165" s="67">
        <v>444331.3</v>
      </c>
      <c r="F165" s="55">
        <f>263300.15+10340.8+34744</f>
        <v>308384.95</v>
      </c>
      <c r="G165" s="68">
        <f t="shared" si="187"/>
        <v>1701489.16</v>
      </c>
      <c r="H165" s="17"/>
      <c r="J165" t="s">
        <v>207</v>
      </c>
      <c r="K165" s="29">
        <f>C165/C164</f>
        <v>1.0445928234287116</v>
      </c>
      <c r="L165" s="30">
        <f>K165*L164</f>
        <v>0.806692171259191</v>
      </c>
      <c r="M165" s="29">
        <f>D165/D164</f>
        <v>0.9917408633498811</v>
      </c>
      <c r="N165" s="30">
        <f>M165*N164</f>
        <v>1.9331931371457438</v>
      </c>
      <c r="O165" s="29">
        <f>E165/E164</f>
        <v>1.0132667477967903</v>
      </c>
      <c r="P165" s="30">
        <f>O165*P164</f>
        <v>1.8677436851031572</v>
      </c>
      <c r="Q165" s="29">
        <f>F165/F164</f>
        <v>1.0010546969999745</v>
      </c>
      <c r="R165" s="30">
        <f>Q165*R164</f>
        <v>1.481434187372032</v>
      </c>
      <c r="S165" s="29">
        <f>G165/G164</f>
        <v>1.0128405004393755</v>
      </c>
      <c r="T165" s="30">
        <f>S165*T164</f>
        <v>1.569290662805641</v>
      </c>
      <c r="V165" s="50">
        <f t="shared" si="208"/>
        <v>0.2687600607458469</v>
      </c>
      <c r="W165" s="50">
        <f t="shared" si="209"/>
        <v>0.2888531949272013</v>
      </c>
      <c r="X165" s="50">
        <f t="shared" si="210"/>
        <v>0.2611425981697115</v>
      </c>
      <c r="Y165" s="50">
        <f t="shared" si="211"/>
        <v>0.1812441461572403</v>
      </c>
      <c r="Z165" s="50">
        <f t="shared" si="212"/>
        <v>1</v>
      </c>
    </row>
    <row r="166" spans="2:26" ht="13.5" customHeight="1">
      <c r="B166" s="16" t="s">
        <v>208</v>
      </c>
      <c r="C166" s="10">
        <f>284246.93+166499.88-10485.68+29730.01</f>
        <v>469991.14</v>
      </c>
      <c r="D166" s="67">
        <v>520206.72</v>
      </c>
      <c r="E166" s="67">
        <v>455720.49</v>
      </c>
      <c r="F166" s="55">
        <f>264344.88+10485.68+35299.03</f>
        <v>310129.58999999997</v>
      </c>
      <c r="G166" s="68">
        <f t="shared" si="187"/>
        <v>1756047.94</v>
      </c>
      <c r="H166" s="17"/>
      <c r="J166" t="s">
        <v>208</v>
      </c>
      <c r="K166" s="29">
        <f>C166/C165</f>
        <v>1.0277695670076077</v>
      </c>
      <c r="L166" s="30">
        <f>K166*L165</f>
        <v>0.8290936635634857</v>
      </c>
      <c r="M166" s="29">
        <f>D166/D165</f>
        <v>1.058448168999882</v>
      </c>
      <c r="N166" s="30">
        <f>M166*N165</f>
        <v>2.04618473633505</v>
      </c>
      <c r="O166" s="29">
        <f>E166/E165</f>
        <v>1.0256322028180325</v>
      </c>
      <c r="P166" s="30">
        <f>O166*P165</f>
        <v>1.9156180700518208</v>
      </c>
      <c r="Q166" s="29">
        <f>F166/F165</f>
        <v>1.0056573448217883</v>
      </c>
      <c r="R166" s="30">
        <f>Q166*R165</f>
        <v>1.4898151714007812</v>
      </c>
      <c r="S166" s="29">
        <f>G166/G165</f>
        <v>1.0320653115415674</v>
      </c>
      <c r="T166" s="30">
        <f>S166*T165</f>
        <v>1.6196104568077767</v>
      </c>
      <c r="V166" s="50">
        <f t="shared" si="208"/>
        <v>0.2676414061907672</v>
      </c>
      <c r="W166" s="50">
        <f t="shared" si="209"/>
        <v>0.29623719726011577</v>
      </c>
      <c r="X166" s="50">
        <f t="shared" si="210"/>
        <v>0.25951483420207766</v>
      </c>
      <c r="Y166" s="50">
        <f t="shared" si="211"/>
        <v>0.17660656234703934</v>
      </c>
      <c r="Z166" s="50">
        <f t="shared" si="212"/>
        <v>0.9999999999999999</v>
      </c>
    </row>
    <row r="167" spans="2:26" ht="13.5" customHeight="1">
      <c r="B167" s="16" t="s">
        <v>209</v>
      </c>
      <c r="C167" s="10">
        <f>312389.8+91729.6-10506.4+80881.04</f>
        <v>474494.04</v>
      </c>
      <c r="D167" s="67">
        <v>530701.92</v>
      </c>
      <c r="E167" s="67">
        <v>448414.83</v>
      </c>
      <c r="F167" s="55">
        <f>263537.08+10506.4+36009.76</f>
        <v>310053.24000000005</v>
      </c>
      <c r="G167" s="68">
        <f aca="true" t="shared" si="213" ref="G167:G185">SUM(C167:F167)</f>
        <v>1763664.03</v>
      </c>
      <c r="H167" s="17"/>
      <c r="J167" t="s">
        <v>209</v>
      </c>
      <c r="K167" s="29">
        <f>C167/C166</f>
        <v>1.009580818906501</v>
      </c>
      <c r="L167" s="30">
        <f>K167*L166</f>
        <v>0.8370370598106149</v>
      </c>
      <c r="M167" s="29">
        <f>D167/D166</f>
        <v>1.02017505656213</v>
      </c>
      <c r="N167" s="30">
        <f>M167*N166</f>
        <v>2.0874666291271766</v>
      </c>
      <c r="O167" s="29">
        <f>E167/E166</f>
        <v>0.9839689894127869</v>
      </c>
      <c r="P167" s="30">
        <f>O167*P166</f>
        <v>1.8849087764897634</v>
      </c>
      <c r="Q167" s="29">
        <f>F167/F166</f>
        <v>0.9997538125916978</v>
      </c>
      <c r="R167" s="30">
        <f>Q167*R166</f>
        <v>1.489448397664885</v>
      </c>
      <c r="S167" s="29">
        <f>G167/G166</f>
        <v>1.004337062688619</v>
      </c>
      <c r="T167" s="30">
        <f>S167*T166</f>
        <v>1.6266348088900948</v>
      </c>
      <c r="V167" s="50">
        <f t="shared" si="208"/>
        <v>0.26903879192909547</v>
      </c>
      <c r="W167" s="50">
        <f t="shared" si="209"/>
        <v>0.30090873940429574</v>
      </c>
      <c r="X167" s="50">
        <f t="shared" si="210"/>
        <v>0.25425184296580566</v>
      </c>
      <c r="Y167" s="50">
        <f t="shared" si="211"/>
        <v>0.17580062570080315</v>
      </c>
      <c r="Z167" s="50">
        <f t="shared" si="212"/>
        <v>1</v>
      </c>
    </row>
    <row r="168" spans="2:26" ht="13.5" customHeight="1">
      <c r="B168" s="16" t="s">
        <v>210</v>
      </c>
      <c r="C168" s="10">
        <f>455499.11+32812.77</f>
        <v>488311.88</v>
      </c>
      <c r="D168" s="67">
        <v>547068.96</v>
      </c>
      <c r="E168" s="67">
        <v>465912.19</v>
      </c>
      <c r="F168" s="55">
        <f>295806.42+18428.34</f>
        <v>314234.76</v>
      </c>
      <c r="G168" s="68">
        <f t="shared" si="213"/>
        <v>1815527.79</v>
      </c>
      <c r="H168" s="17"/>
      <c r="J168" t="s">
        <v>210</v>
      </c>
      <c r="K168" s="29">
        <f>C168/C167</f>
        <v>1.0291212087721904</v>
      </c>
      <c r="L168" s="30">
        <f>K168*L167</f>
        <v>0.8614125907794202</v>
      </c>
      <c r="M168" s="29">
        <f>D168/D167</f>
        <v>1.0308403632683294</v>
      </c>
      <c r="N168" s="30">
        <f>M168*N167</f>
        <v>2.151844858279974</v>
      </c>
      <c r="O168" s="29">
        <f>E168/E167</f>
        <v>1.0390204757500996</v>
      </c>
      <c r="P168" s="30">
        <f>O168*P167</f>
        <v>1.958458813693932</v>
      </c>
      <c r="Q168" s="29">
        <f>F168/F167</f>
        <v>1.013486458003148</v>
      </c>
      <c r="R168" s="30">
        <f>Q168*R167</f>
        <v>1.5095357809278485</v>
      </c>
      <c r="S168" s="29">
        <f>G168/G167</f>
        <v>1.029406825289735</v>
      </c>
      <c r="T168" s="30">
        <f>S168*T167</f>
        <v>1.6744689745253274</v>
      </c>
      <c r="V168" s="50">
        <f t="shared" si="208"/>
        <v>0.26896414513159284</v>
      </c>
      <c r="W168" s="50">
        <f t="shared" si="209"/>
        <v>0.3013277808322614</v>
      </c>
      <c r="X168" s="50">
        <f t="shared" si="210"/>
        <v>0.25662630589642477</v>
      </c>
      <c r="Y168" s="50">
        <f t="shared" si="211"/>
        <v>0.17308176813972095</v>
      </c>
      <c r="Z168" s="50">
        <f t="shared" si="212"/>
        <v>1</v>
      </c>
    </row>
    <row r="169" spans="2:26" ht="13.5" customHeight="1">
      <c r="B169" s="24" t="s">
        <v>211</v>
      </c>
      <c r="C169" s="25">
        <v>-23700</v>
      </c>
      <c r="D169" s="59">
        <v>-26500</v>
      </c>
      <c r="E169" s="59">
        <v>-22400</v>
      </c>
      <c r="F169" s="59">
        <v>-15500</v>
      </c>
      <c r="G169" s="82">
        <f t="shared" si="213"/>
        <v>-88100</v>
      </c>
      <c r="H169" s="17"/>
      <c r="J169" s="94" t="s">
        <v>211</v>
      </c>
      <c r="K169" s="29"/>
      <c r="L169" s="30"/>
      <c r="M169" s="29"/>
      <c r="N169" s="30"/>
      <c r="O169" s="29"/>
      <c r="P169" s="30"/>
      <c r="Q169" s="29"/>
      <c r="R169" s="30"/>
      <c r="S169" s="29"/>
      <c r="T169" s="30"/>
      <c r="V169" s="50"/>
      <c r="W169" s="50"/>
      <c r="X169" s="50"/>
      <c r="Y169" s="50"/>
      <c r="Z169" s="50"/>
    </row>
    <row r="170" spans="2:26" ht="13.5" customHeight="1">
      <c r="B170" s="24" t="s">
        <v>212</v>
      </c>
      <c r="C170" s="25">
        <f>C168+C169</f>
        <v>464611.88</v>
      </c>
      <c r="D170" s="25">
        <f>D168+D169</f>
        <v>520568.95999999996</v>
      </c>
      <c r="E170" s="25">
        <f>E168+E169</f>
        <v>443512.19</v>
      </c>
      <c r="F170" s="25">
        <f>F168+F169</f>
        <v>298734.76</v>
      </c>
      <c r="G170" s="75">
        <f t="shared" si="213"/>
        <v>1727427.79</v>
      </c>
      <c r="H170" s="17"/>
      <c r="J170" s="94" t="s">
        <v>212</v>
      </c>
      <c r="K170" s="29"/>
      <c r="L170" s="30"/>
      <c r="M170" s="29"/>
      <c r="N170" s="30"/>
      <c r="O170" s="29"/>
      <c r="P170" s="30"/>
      <c r="Q170" s="29"/>
      <c r="R170" s="30"/>
      <c r="S170" s="29"/>
      <c r="T170" s="30"/>
      <c r="V170" s="50"/>
      <c r="W170" s="50"/>
      <c r="X170" s="50"/>
      <c r="Y170" s="50"/>
      <c r="Z170" s="50"/>
    </row>
    <row r="171" spans="2:26" ht="13.5" customHeight="1">
      <c r="B171" s="16" t="s">
        <v>213</v>
      </c>
      <c r="C171" s="10">
        <f>434060.87+27626.57</f>
        <v>461687.44</v>
      </c>
      <c r="D171" s="67">
        <v>499320.2</v>
      </c>
      <c r="E171" s="67">
        <v>438453.05</v>
      </c>
      <c r="F171" s="55">
        <f>297667.84+3570.6</f>
        <v>301238.44</v>
      </c>
      <c r="G171" s="68">
        <f t="shared" si="213"/>
        <v>1700699.13</v>
      </c>
      <c r="H171" s="17"/>
      <c r="J171" t="s">
        <v>213</v>
      </c>
      <c r="K171" s="29">
        <f aca="true" t="shared" si="214" ref="K171:K176">C171/C170</f>
        <v>0.993705628017949</v>
      </c>
      <c r="L171" s="30">
        <f>K171*L168</f>
        <v>0.8559905395030323</v>
      </c>
      <c r="M171" s="29">
        <f aca="true" t="shared" si="215" ref="M171:M176">D171/D170</f>
        <v>0.9591816615420174</v>
      </c>
      <c r="N171" s="30">
        <f>M171*N168</f>
        <v>2.0640101265456323</v>
      </c>
      <c r="O171" s="29">
        <f aca="true" t="shared" si="216" ref="O171:O176">E171/E170</f>
        <v>0.9885930080072883</v>
      </c>
      <c r="P171" s="30">
        <f>O171*P168</f>
        <v>1.9361186896880698</v>
      </c>
      <c r="Q171" s="30">
        <f aca="true" t="shared" si="217" ref="Q171:Q176">F171/F170</f>
        <v>1.0083809463619164</v>
      </c>
      <c r="R171" s="30">
        <f>Q171*R168</f>
        <v>1.5221871193391985</v>
      </c>
      <c r="S171" s="29">
        <f aca="true" t="shared" si="218" ref="S171:S176">G171/G170</f>
        <v>0.9845269017004756</v>
      </c>
      <c r="T171" s="30">
        <f>S171*T168</f>
        <v>1.6485597514829933</v>
      </c>
      <c r="V171" s="50">
        <f aca="true" t="shared" si="219" ref="V171:V176">C171/G171</f>
        <v>0.2714692045500135</v>
      </c>
      <c r="W171" s="50">
        <f aca="true" t="shared" si="220" ref="W171:W176">D171/G171</f>
        <v>0.29359702206703664</v>
      </c>
      <c r="X171" s="50">
        <f aca="true" t="shared" si="221" ref="X171:X176">E171/G171</f>
        <v>0.25780753471661977</v>
      </c>
      <c r="Y171" s="50">
        <f aca="true" t="shared" si="222" ref="Y171:Y176">F171/G171</f>
        <v>0.17712623866633015</v>
      </c>
      <c r="Z171" s="50">
        <f aca="true" t="shared" si="223" ref="Z171:Z176">SUM(V171:Y171)</f>
        <v>1</v>
      </c>
    </row>
    <row r="172" spans="2:26" ht="13.5" customHeight="1">
      <c r="B172" s="16" t="s">
        <v>214</v>
      </c>
      <c r="C172" s="10">
        <f>364412.37+95773.09</f>
        <v>460185.45999999996</v>
      </c>
      <c r="D172" s="67">
        <v>487030.42</v>
      </c>
      <c r="E172" s="67">
        <v>429782.67</v>
      </c>
      <c r="F172" s="55">
        <f>296017+4474.89</f>
        <v>300491.89</v>
      </c>
      <c r="G172" s="68">
        <f t="shared" si="213"/>
        <v>1677490.44</v>
      </c>
      <c r="H172" s="17"/>
      <c r="J172" t="s">
        <v>214</v>
      </c>
      <c r="K172" s="29">
        <f t="shared" si="214"/>
        <v>0.9967467601024623</v>
      </c>
      <c r="L172" s="30">
        <f>K172*L171</f>
        <v>0.8532057969280062</v>
      </c>
      <c r="M172" s="29">
        <f t="shared" si="215"/>
        <v>0.97538697613275</v>
      </c>
      <c r="N172" s="30">
        <f>M172*N171</f>
        <v>2.013208596038719</v>
      </c>
      <c r="O172" s="29">
        <f t="shared" si="216"/>
        <v>0.9802250662870289</v>
      </c>
      <c r="P172" s="30">
        <f>O172*P171</f>
        <v>1.8978320709390437</v>
      </c>
      <c r="Q172" s="29">
        <f t="shared" si="217"/>
        <v>0.9975217306264101</v>
      </c>
      <c r="R172" s="30">
        <f>Q172*R171</f>
        <v>1.518414729620467</v>
      </c>
      <c r="S172" s="29">
        <f t="shared" si="218"/>
        <v>0.986353441599044</v>
      </c>
      <c r="T172" s="30">
        <f>S172*T171</f>
        <v>1.6260625845569152</v>
      </c>
      <c r="V172" s="50">
        <f t="shared" si="219"/>
        <v>0.27432970646318555</v>
      </c>
      <c r="W172" s="50">
        <f t="shared" si="220"/>
        <v>0.29033275444478834</v>
      </c>
      <c r="X172" s="50">
        <f t="shared" si="221"/>
        <v>0.25620573432299265</v>
      </c>
      <c r="Y172" s="50">
        <f t="shared" si="222"/>
        <v>0.17913180476903345</v>
      </c>
      <c r="Z172" s="50">
        <f t="shared" si="223"/>
        <v>1</v>
      </c>
    </row>
    <row r="173" spans="2:26" ht="13.5" customHeight="1">
      <c r="B173" s="16" t="s">
        <v>215</v>
      </c>
      <c r="C173" s="10">
        <f>324453.29+121923.99</f>
        <v>446377.27999999997</v>
      </c>
      <c r="D173" s="67">
        <v>471752.19</v>
      </c>
      <c r="E173" s="67">
        <v>415337.53</v>
      </c>
      <c r="F173" s="55">
        <f>299489.34+4483.69</f>
        <v>303973.03</v>
      </c>
      <c r="G173" s="68">
        <f t="shared" si="213"/>
        <v>1637440.03</v>
      </c>
      <c r="H173" s="17"/>
      <c r="J173" t="s">
        <v>215</v>
      </c>
      <c r="K173" s="29">
        <f t="shared" si="214"/>
        <v>0.9699943149007794</v>
      </c>
      <c r="L173" s="30">
        <f>K173*L172</f>
        <v>0.8276047724605549</v>
      </c>
      <c r="M173" s="29">
        <f t="shared" si="215"/>
        <v>0.968629823985122</v>
      </c>
      <c r="N173" s="30">
        <f>M173*N172</f>
        <v>1.950053888026319</v>
      </c>
      <c r="O173" s="29">
        <f t="shared" si="216"/>
        <v>0.9663896638736039</v>
      </c>
      <c r="P173" s="30">
        <f>O173*P172</f>
        <v>1.834045297123328</v>
      </c>
      <c r="Q173" s="29">
        <f t="shared" si="217"/>
        <v>1.0115848051672875</v>
      </c>
      <c r="R173" s="30">
        <f>Q173*R172</f>
        <v>1.5360052684262597</v>
      </c>
      <c r="S173" s="29">
        <f t="shared" si="218"/>
        <v>0.9761248058140946</v>
      </c>
      <c r="T173" s="30">
        <f>S173*T172</f>
        <v>1.5872400245921836</v>
      </c>
      <c r="V173" s="50">
        <f t="shared" si="219"/>
        <v>0.27260679586537284</v>
      </c>
      <c r="W173" s="50">
        <f t="shared" si="220"/>
        <v>0.28810349164359933</v>
      </c>
      <c r="X173" s="50">
        <f t="shared" si="221"/>
        <v>0.2536505291128128</v>
      </c>
      <c r="Y173" s="50">
        <f t="shared" si="222"/>
        <v>0.18563918337821508</v>
      </c>
      <c r="Z173" s="50">
        <f t="shared" si="223"/>
        <v>1.0000000000000002</v>
      </c>
    </row>
    <row r="174" spans="2:26" ht="13.5" customHeight="1">
      <c r="B174" s="16" t="s">
        <v>216</v>
      </c>
      <c r="C174" s="10">
        <f>73562.16+341293.75</f>
        <v>414855.91000000003</v>
      </c>
      <c r="D174" s="67">
        <v>441965.22</v>
      </c>
      <c r="E174" s="67">
        <v>386006.83</v>
      </c>
      <c r="F174" s="55">
        <f>300149.19+5120.16</f>
        <v>305269.35</v>
      </c>
      <c r="G174" s="68">
        <f t="shared" si="213"/>
        <v>1548097.31</v>
      </c>
      <c r="H174" s="17"/>
      <c r="J174" t="s">
        <v>216</v>
      </c>
      <c r="K174" s="29">
        <f t="shared" si="214"/>
        <v>0.9293840179320956</v>
      </c>
      <c r="L174" s="30">
        <f>K174*L173</f>
        <v>0.7691626486891682</v>
      </c>
      <c r="M174" s="29">
        <f t="shared" si="215"/>
        <v>0.9368588622768237</v>
      </c>
      <c r="N174" s="30">
        <f>M174*N173</f>
        <v>1.8269252669148337</v>
      </c>
      <c r="O174" s="29">
        <f t="shared" si="216"/>
        <v>0.9293810506360934</v>
      </c>
      <c r="P174" s="30">
        <f>O174*P173</f>
        <v>1.7045269451546647</v>
      </c>
      <c r="Q174" s="29">
        <f t="shared" si="217"/>
        <v>1.004264588868295</v>
      </c>
      <c r="R174" s="30">
        <f>Q174*R173</f>
        <v>1.5425556993956329</v>
      </c>
      <c r="S174" s="29">
        <f t="shared" si="218"/>
        <v>0.9454375620705938</v>
      </c>
      <c r="T174" s="30">
        <f>S174*T173</f>
        <v>1.5006363392713034</v>
      </c>
      <c r="V174" s="50">
        <f t="shared" si="219"/>
        <v>0.2679779283383678</v>
      </c>
      <c r="W174" s="50">
        <f t="shared" si="220"/>
        <v>0.2854893017028755</v>
      </c>
      <c r="X174" s="50">
        <f t="shared" si="221"/>
        <v>0.24934274318970298</v>
      </c>
      <c r="Y174" s="50">
        <f t="shared" si="222"/>
        <v>0.19719002676905367</v>
      </c>
      <c r="Z174" s="50">
        <f t="shared" si="223"/>
        <v>1</v>
      </c>
    </row>
    <row r="175" spans="2:26" ht="13.5" customHeight="1">
      <c r="B175" s="23" t="s">
        <v>217</v>
      </c>
      <c r="C175" s="10">
        <f>55383.72+356550.8</f>
        <v>411934.52</v>
      </c>
      <c r="D175" s="67">
        <v>396114.96</v>
      </c>
      <c r="E175" s="67">
        <v>361073.46</v>
      </c>
      <c r="F175" s="55">
        <f>295137.22+5806.34</f>
        <v>300943.56</v>
      </c>
      <c r="G175" s="68">
        <f t="shared" si="213"/>
        <v>1470066.5</v>
      </c>
      <c r="H175" s="17"/>
      <c r="J175" s="94" t="s">
        <v>217</v>
      </c>
      <c r="K175" s="29">
        <f t="shared" si="214"/>
        <v>0.9929580610289486</v>
      </c>
      <c r="L175" s="30">
        <f>K175*L174</f>
        <v>0.7637462522582867</v>
      </c>
      <c r="M175" s="29">
        <f t="shared" si="215"/>
        <v>0.8962582168795998</v>
      </c>
      <c r="N175" s="30">
        <f>M175*N174</f>
        <v>1.6373967820973758</v>
      </c>
      <c r="O175" s="29">
        <f t="shared" si="216"/>
        <v>0.9354069201314391</v>
      </c>
      <c r="P175" s="30">
        <f>O175*P174</f>
        <v>1.5944263000481753</v>
      </c>
      <c r="Q175" s="29">
        <f t="shared" si="217"/>
        <v>0.9858295960600041</v>
      </c>
      <c r="R175" s="30">
        <f>Q175*R174</f>
        <v>1.5206970620352538</v>
      </c>
      <c r="S175" s="29">
        <f t="shared" si="218"/>
        <v>0.9495956685048434</v>
      </c>
      <c r="T175" s="30">
        <f>S175*T174</f>
        <v>1.4249977677729944</v>
      </c>
      <c r="V175" s="50">
        <f t="shared" si="219"/>
        <v>0.28021488823804913</v>
      </c>
      <c r="W175" s="50">
        <f t="shared" si="220"/>
        <v>0.2694537696083817</v>
      </c>
      <c r="X175" s="50">
        <f t="shared" si="221"/>
        <v>0.24561709283219502</v>
      </c>
      <c r="Y175" s="50">
        <f t="shared" si="222"/>
        <v>0.20471424932137425</v>
      </c>
      <c r="Z175" s="50">
        <f t="shared" si="223"/>
        <v>1</v>
      </c>
    </row>
    <row r="176" spans="2:26" ht="13.5" customHeight="1">
      <c r="B176" s="99" t="s">
        <v>218</v>
      </c>
      <c r="C176" s="97">
        <f>184221.29+238193.7+300.48</f>
        <v>422715.47</v>
      </c>
      <c r="D176" s="98">
        <f>446100.31+516.07</f>
        <v>446616.38</v>
      </c>
      <c r="E176" s="98">
        <f>393286.1+444.88</f>
        <v>393730.98</v>
      </c>
      <c r="F176" s="98">
        <f>301104.65+5886.98+300.49</f>
        <v>307292.12</v>
      </c>
      <c r="G176" s="68">
        <f t="shared" si="213"/>
        <v>1570354.9500000002</v>
      </c>
      <c r="H176" s="17"/>
      <c r="J176" s="94" t="s">
        <v>218</v>
      </c>
      <c r="K176" s="29">
        <f t="shared" si="214"/>
        <v>1.0261715138609893</v>
      </c>
      <c r="L176" s="30">
        <f>K176*L175</f>
        <v>0.7837346478855431</v>
      </c>
      <c r="M176" s="29">
        <f t="shared" si="215"/>
        <v>1.1274918271200864</v>
      </c>
      <c r="N176" s="30">
        <f>M176*N175</f>
        <v>1.8461514895675204</v>
      </c>
      <c r="O176" s="29">
        <f t="shared" si="216"/>
        <v>1.090445639510586</v>
      </c>
      <c r="P176" s="30">
        <f>O176*P175</f>
        <v>1.73863520640853</v>
      </c>
      <c r="Q176" s="29">
        <f t="shared" si="217"/>
        <v>1.0210955170464522</v>
      </c>
      <c r="R176" s="30">
        <f>Q176*R175</f>
        <v>1.5527769528299082</v>
      </c>
      <c r="S176" s="29">
        <f t="shared" si="218"/>
        <v>1.0682203492154947</v>
      </c>
      <c r="T176" s="30">
        <f>S176*T175</f>
        <v>1.5222116131217684</v>
      </c>
      <c r="V176" s="50">
        <f t="shared" si="219"/>
        <v>0.2691846642696926</v>
      </c>
      <c r="W176" s="50">
        <f t="shared" si="220"/>
        <v>0.2844047328280781</v>
      </c>
      <c r="X176" s="50">
        <f t="shared" si="221"/>
        <v>0.25072737854585037</v>
      </c>
      <c r="Y176" s="50">
        <f t="shared" si="222"/>
        <v>0.19568322435637878</v>
      </c>
      <c r="Z176" s="50">
        <f t="shared" si="223"/>
        <v>0.9999999999999999</v>
      </c>
    </row>
    <row r="177" spans="2:26" ht="13.5" customHeight="1">
      <c r="B177" s="95" t="s">
        <v>235</v>
      </c>
      <c r="C177" s="25">
        <v>14022.81</v>
      </c>
      <c r="D177" s="59">
        <v>15679.52</v>
      </c>
      <c r="E177" s="59">
        <v>13253.63</v>
      </c>
      <c r="F177" s="59">
        <v>9171.04</v>
      </c>
      <c r="G177" s="82">
        <f t="shared" si="213"/>
        <v>52127</v>
      </c>
      <c r="H177" s="17"/>
      <c r="J177" s="96" t="s">
        <v>235</v>
      </c>
      <c r="K177" s="88" t="s">
        <v>236</v>
      </c>
      <c r="L177" s="85"/>
      <c r="M177" s="86"/>
      <c r="N177" s="85"/>
      <c r="O177" s="86"/>
      <c r="P177" s="85"/>
      <c r="Q177" s="86"/>
      <c r="R177" s="85"/>
      <c r="S177" s="86"/>
      <c r="T177" s="87"/>
      <c r="V177" s="50"/>
      <c r="W177" s="50"/>
      <c r="X177" s="50"/>
      <c r="Y177" s="50"/>
      <c r="Z177" s="50"/>
    </row>
    <row r="178" spans="2:26" ht="13.5" customHeight="1">
      <c r="B178" s="95" t="s">
        <v>233</v>
      </c>
      <c r="C178" s="25">
        <f>C176+C177</f>
        <v>436738.27999999997</v>
      </c>
      <c r="D178" s="25">
        <f>D176+D177</f>
        <v>462295.9</v>
      </c>
      <c r="E178" s="25">
        <f>E176+E177</f>
        <v>406984.61</v>
      </c>
      <c r="F178" s="25">
        <f>F176+F177</f>
        <v>316463.16</v>
      </c>
      <c r="G178" s="82">
        <f t="shared" si="213"/>
        <v>1622481.95</v>
      </c>
      <c r="H178" s="17"/>
      <c r="J178" s="96" t="s">
        <v>233</v>
      </c>
      <c r="K178" s="29"/>
      <c r="L178" s="30"/>
      <c r="M178" s="29"/>
      <c r="N178" s="30"/>
      <c r="O178" s="29"/>
      <c r="P178" s="30"/>
      <c r="Q178" s="29"/>
      <c r="R178" s="30"/>
      <c r="S178" s="29"/>
      <c r="T178" s="30"/>
      <c r="V178" s="50"/>
      <c r="W178" s="50"/>
      <c r="X178" s="50"/>
      <c r="Y178" s="50"/>
      <c r="Z178" s="50"/>
    </row>
    <row r="179" spans="2:26" ht="13.5" customHeight="1">
      <c r="B179" s="99" t="s">
        <v>219</v>
      </c>
      <c r="C179" s="97">
        <f>432770.64-(3473.08+318.14)-509.71</f>
        <v>428469.71</v>
      </c>
      <c r="D179" s="55">
        <f>446603.86</f>
        <v>446603.86</v>
      </c>
      <c r="E179" s="55">
        <f>404928.03</f>
        <v>404928.03</v>
      </c>
      <c r="F179" s="98">
        <f>307085.64+(3473.08+318.14)+509.71</f>
        <v>311386.57</v>
      </c>
      <c r="G179" s="68">
        <f t="shared" si="213"/>
        <v>1591388.1700000002</v>
      </c>
      <c r="H179" s="17"/>
      <c r="J179" s="96" t="s">
        <v>219</v>
      </c>
      <c r="K179" s="29">
        <f aca="true" t="shared" si="224" ref="K179:K184">C179/C178</f>
        <v>0.9810674484499047</v>
      </c>
      <c r="L179" s="30">
        <f>K179*L176</f>
        <v>0.7688965512628543</v>
      </c>
      <c r="M179" s="29">
        <f aca="true" t="shared" si="225" ref="M179:M184">D179/D178</f>
        <v>0.9660562855954378</v>
      </c>
      <c r="N179" s="30">
        <f>M179*N176</f>
        <v>1.7834862506580833</v>
      </c>
      <c r="O179" s="29">
        <f aca="true" t="shared" si="226" ref="O179:O184">E179/E178</f>
        <v>0.9949467868084743</v>
      </c>
      <c r="P179" s="30">
        <f>O179*P176</f>
        <v>1.7298495120482553</v>
      </c>
      <c r="Q179" s="30">
        <f aca="true" t="shared" si="227" ref="Q179:Q184">F179/F178</f>
        <v>0.9839583539518472</v>
      </c>
      <c r="R179" s="30">
        <f>Q179*R176</f>
        <v>1.5278678545608815</v>
      </c>
      <c r="S179" s="29">
        <f aca="true" t="shared" si="228" ref="S179:S184">G179/G178</f>
        <v>0.9808356696972809</v>
      </c>
      <c r="T179" s="30">
        <f>S179*T176</f>
        <v>1.4930394469772679</v>
      </c>
      <c r="V179" s="50">
        <f aca="true" t="shared" si="229" ref="V179:V185">C179/G179</f>
        <v>0.269242739186631</v>
      </c>
      <c r="W179" s="50">
        <f aca="true" t="shared" si="230" ref="W179:W185">D179/G179</f>
        <v>0.28063791626652596</v>
      </c>
      <c r="X179" s="50">
        <f aca="true" t="shared" si="231" ref="X179:X185">E179/G179</f>
        <v>0.25444956650645456</v>
      </c>
      <c r="Y179" s="50">
        <f aca="true" t="shared" si="232" ref="Y179:Y185">F179/G179</f>
        <v>0.19566977804038846</v>
      </c>
      <c r="Z179" s="50">
        <f aca="true" t="shared" si="233" ref="Z179:Z185">SUM(V179:Y179)</f>
        <v>1</v>
      </c>
    </row>
    <row r="180" spans="2:26" ht="13.5" customHeight="1">
      <c r="B180" s="23" t="s">
        <v>220</v>
      </c>
      <c r="C180" s="10">
        <v>423764.09</v>
      </c>
      <c r="D180" s="67">
        <v>454811.73</v>
      </c>
      <c r="E180" s="67">
        <v>414212.16</v>
      </c>
      <c r="F180" s="55">
        <v>315769.61</v>
      </c>
      <c r="G180" s="68">
        <f t="shared" si="213"/>
        <v>1608557.5899999999</v>
      </c>
      <c r="H180" s="17"/>
      <c r="J180" s="96" t="s">
        <v>220</v>
      </c>
      <c r="K180" s="29">
        <f t="shared" si="224"/>
        <v>0.9890176134037573</v>
      </c>
      <c r="L180" s="30">
        <f>K180*L179</f>
        <v>0.7604522320843679</v>
      </c>
      <c r="M180" s="29">
        <f t="shared" si="225"/>
        <v>1.0183784125824618</v>
      </c>
      <c r="N180" s="30">
        <f>M180*N179</f>
        <v>1.8162638968078253</v>
      </c>
      <c r="O180" s="29">
        <f t="shared" si="226"/>
        <v>1.0229278521420213</v>
      </c>
      <c r="P180" s="30">
        <f>O180*P179</f>
        <v>1.7695112458884454</v>
      </c>
      <c r="Q180" s="29">
        <f t="shared" si="227"/>
        <v>1.0140758800226997</v>
      </c>
      <c r="R180" s="30">
        <f>Q180*R179</f>
        <v>1.5493739391722199</v>
      </c>
      <c r="S180" s="29">
        <f t="shared" si="228"/>
        <v>1.0107889579196756</v>
      </c>
      <c r="T180" s="30">
        <f>S180*T179</f>
        <v>1.5091477867431213</v>
      </c>
      <c r="V180" s="50">
        <f t="shared" si="229"/>
        <v>0.2634435301753791</v>
      </c>
      <c r="W180" s="50">
        <f t="shared" si="230"/>
        <v>0.28274507100488705</v>
      </c>
      <c r="X180" s="50">
        <f t="shared" si="231"/>
        <v>0.257505334328751</v>
      </c>
      <c r="Y180" s="50">
        <f t="shared" si="232"/>
        <v>0.1963060644909829</v>
      </c>
      <c r="Z180" s="50">
        <f t="shared" si="233"/>
        <v>1</v>
      </c>
    </row>
    <row r="181" spans="2:26" ht="13.5" customHeight="1">
      <c r="B181" s="23" t="s">
        <v>242</v>
      </c>
      <c r="C181" s="10">
        <v>467768.67</v>
      </c>
      <c r="D181" s="67">
        <v>492875.41</v>
      </c>
      <c r="E181" s="67">
        <v>433517.08</v>
      </c>
      <c r="F181" s="55">
        <v>319597.39</v>
      </c>
      <c r="G181" s="68">
        <f t="shared" si="213"/>
        <v>1713758.5499999998</v>
      </c>
      <c r="H181" s="17"/>
      <c r="J181" s="96" t="s">
        <v>234</v>
      </c>
      <c r="K181" s="29">
        <f t="shared" si="224"/>
        <v>1.1038421636906515</v>
      </c>
      <c r="L181" s="30">
        <f>K181*L180</f>
        <v>0.8394192372473941</v>
      </c>
      <c r="M181" s="29">
        <f t="shared" si="225"/>
        <v>1.0836910692694754</v>
      </c>
      <c r="N181" s="30">
        <f>M181*N180</f>
        <v>1.9682689644072164</v>
      </c>
      <c r="O181" s="29">
        <f t="shared" si="226"/>
        <v>1.0466063574763234</v>
      </c>
      <c r="P181" s="30">
        <f>O181*P180</f>
        <v>1.8519817195726966</v>
      </c>
      <c r="Q181" s="29">
        <f t="shared" si="227"/>
        <v>1.0121220658314776</v>
      </c>
      <c r="R181" s="30">
        <f>Q181*R180</f>
        <v>1.5681555520604413</v>
      </c>
      <c r="S181" s="29">
        <f t="shared" si="228"/>
        <v>1.0654008042074514</v>
      </c>
      <c r="T181" s="30">
        <f>S181*T180</f>
        <v>1.6078472656640168</v>
      </c>
      <c r="V181" s="50">
        <f t="shared" si="229"/>
        <v>0.272948992727126</v>
      </c>
      <c r="W181" s="50">
        <f t="shared" si="230"/>
        <v>0.2875990961503883</v>
      </c>
      <c r="X181" s="50">
        <f t="shared" si="231"/>
        <v>0.25296275254177436</v>
      </c>
      <c r="Y181" s="50">
        <f t="shared" si="232"/>
        <v>0.1864891585807114</v>
      </c>
      <c r="Z181" s="50">
        <f t="shared" si="233"/>
        <v>1</v>
      </c>
    </row>
    <row r="182" spans="2:26" ht="13.5" customHeight="1">
      <c r="B182" s="23" t="s">
        <v>237</v>
      </c>
      <c r="C182" s="10">
        <v>484377.48</v>
      </c>
      <c r="D182" s="67">
        <v>511127.8</v>
      </c>
      <c r="E182" s="67">
        <v>447297.59</v>
      </c>
      <c r="F182" s="55">
        <v>321204.64</v>
      </c>
      <c r="G182" s="68">
        <f t="shared" si="213"/>
        <v>1764007.5100000002</v>
      </c>
      <c r="H182" s="17"/>
      <c r="J182" s="96" t="s">
        <v>237</v>
      </c>
      <c r="K182" s="29">
        <f t="shared" si="224"/>
        <v>1.0355064609179576</v>
      </c>
      <c r="L182" s="30">
        <f>K182*L181</f>
        <v>0.8692240435885005</v>
      </c>
      <c r="M182" s="29">
        <f t="shared" si="225"/>
        <v>1.0370324622200162</v>
      </c>
      <c r="N182" s="30">
        <f>M182*N181</f>
        <v>2.041158810470457</v>
      </c>
      <c r="O182" s="29">
        <f t="shared" si="226"/>
        <v>1.0317876979610585</v>
      </c>
      <c r="P182" s="30">
        <f>O182*P181</f>
        <v>1.9108519551038754</v>
      </c>
      <c r="Q182" s="29">
        <f t="shared" si="227"/>
        <v>1.0050289834970179</v>
      </c>
      <c r="R182" s="30">
        <f>Q182*R181</f>
        <v>1.5760417804525102</v>
      </c>
      <c r="S182" s="29">
        <f t="shared" si="228"/>
        <v>1.029320909879633</v>
      </c>
      <c r="T182" s="30">
        <f>S182*T181</f>
        <v>1.6549908104407658</v>
      </c>
      <c r="V182" s="50">
        <f t="shared" si="229"/>
        <v>0.2745892391353821</v>
      </c>
      <c r="W182" s="50">
        <f t="shared" si="230"/>
        <v>0.2897537550732989</v>
      </c>
      <c r="X182" s="50">
        <f t="shared" si="231"/>
        <v>0.25356898282139395</v>
      </c>
      <c r="Y182" s="50">
        <f t="shared" si="232"/>
        <v>0.18208802296992488</v>
      </c>
      <c r="Z182" s="50">
        <f t="shared" si="233"/>
        <v>0.9999999999999999</v>
      </c>
    </row>
    <row r="183" spans="2:26" ht="13.5" customHeight="1">
      <c r="B183" s="23" t="s">
        <v>238</v>
      </c>
      <c r="C183" s="10">
        <v>494412.49</v>
      </c>
      <c r="D183" s="67">
        <v>531171.99</v>
      </c>
      <c r="E183" s="67">
        <v>456071.11</v>
      </c>
      <c r="F183" s="55">
        <v>319586.18</v>
      </c>
      <c r="G183" s="68">
        <f t="shared" si="213"/>
        <v>1801241.7699999998</v>
      </c>
      <c r="H183" s="17"/>
      <c r="J183" s="96" t="s">
        <v>238</v>
      </c>
      <c r="K183" s="29">
        <f t="shared" si="224"/>
        <v>1.0207173339272504</v>
      </c>
      <c r="L183" s="30">
        <f>K183*L182</f>
        <v>0.8872320483571183</v>
      </c>
      <c r="M183" s="29">
        <f t="shared" si="225"/>
        <v>1.039215613003245</v>
      </c>
      <c r="N183" s="30">
        <f>M183*N182</f>
        <v>2.1212041044600305</v>
      </c>
      <c r="O183" s="29">
        <f t="shared" si="226"/>
        <v>1.019614503176733</v>
      </c>
      <c r="P183" s="30">
        <f>O183*P182</f>
        <v>1.9483323668475268</v>
      </c>
      <c r="Q183" s="29">
        <f t="shared" si="227"/>
        <v>0.9949612807585843</v>
      </c>
      <c r="R183" s="30">
        <f>Q183*R182</f>
        <v>1.568100548408069</v>
      </c>
      <c r="S183" s="29">
        <f t="shared" si="228"/>
        <v>1.0211077672792899</v>
      </c>
      <c r="T183" s="30">
        <f>S183*T182</f>
        <v>1.6899239713169127</v>
      </c>
      <c r="V183" s="50">
        <f t="shared" si="229"/>
        <v>0.2744842464984587</v>
      </c>
      <c r="W183" s="50">
        <f t="shared" si="230"/>
        <v>0.29489211212329375</v>
      </c>
      <c r="X183" s="50">
        <f t="shared" si="231"/>
        <v>0.2531981645084769</v>
      </c>
      <c r="Y183" s="50">
        <f t="shared" si="232"/>
        <v>0.1774254768697708</v>
      </c>
      <c r="Z183" s="50">
        <f t="shared" si="233"/>
        <v>1</v>
      </c>
    </row>
    <row r="184" spans="2:26" ht="13.5" customHeight="1">
      <c r="B184" s="23" t="s">
        <v>239</v>
      </c>
      <c r="C184" s="10">
        <v>480462.61</v>
      </c>
      <c r="D184" s="67">
        <v>518048.34</v>
      </c>
      <c r="E184" s="67">
        <v>446777.27</v>
      </c>
      <c r="F184" s="55">
        <v>322630.27</v>
      </c>
      <c r="G184" s="68">
        <f t="shared" si="213"/>
        <v>1767918.49</v>
      </c>
      <c r="H184" s="17"/>
      <c r="J184" s="96" t="s">
        <v>239</v>
      </c>
      <c r="K184" s="29">
        <f t="shared" si="224"/>
        <v>0.971784936096578</v>
      </c>
      <c r="L184" s="30">
        <f>K184*L183</f>
        <v>0.8621987394155582</v>
      </c>
      <c r="M184" s="29">
        <f t="shared" si="225"/>
        <v>0.9752930307940372</v>
      </c>
      <c r="N184" s="30">
        <f>M184*N183</f>
        <v>2.0687955799715745</v>
      </c>
      <c r="O184" s="29">
        <f t="shared" si="226"/>
        <v>0.9796219497437583</v>
      </c>
      <c r="P184" s="30">
        <f>O184*P183</f>
        <v>1.9086291519600453</v>
      </c>
      <c r="Q184" s="29">
        <f t="shared" si="227"/>
        <v>1.0095250989889488</v>
      </c>
      <c r="R184" s="30">
        <f>Q184*R183</f>
        <v>1.5830368613562809</v>
      </c>
      <c r="S184" s="29">
        <f t="shared" si="228"/>
        <v>0.981499829420456</v>
      </c>
      <c r="T184" s="30">
        <f>S184*T183</f>
        <v>1.6586600895810895</v>
      </c>
      <c r="V184" s="50">
        <f t="shared" si="229"/>
        <v>0.27176739918592063</v>
      </c>
      <c r="W184" s="50">
        <f t="shared" si="230"/>
        <v>0.2930272763876122</v>
      </c>
      <c r="X184" s="50">
        <f t="shared" si="231"/>
        <v>0.2527137266379289</v>
      </c>
      <c r="Y184" s="50">
        <f t="shared" si="232"/>
        <v>0.18249159778853832</v>
      </c>
      <c r="Z184" s="50">
        <f t="shared" si="233"/>
        <v>1.0000000000000002</v>
      </c>
    </row>
    <row r="185" spans="2:26" ht="13.5" customHeight="1">
      <c r="B185" s="24" t="s">
        <v>243</v>
      </c>
      <c r="C185" s="25">
        <v>-24700</v>
      </c>
      <c r="D185" s="25">
        <v>-26600</v>
      </c>
      <c r="E185" s="25">
        <v>-22800</v>
      </c>
      <c r="F185" s="25">
        <v>-16000</v>
      </c>
      <c r="G185" s="26">
        <f t="shared" si="213"/>
        <v>-90100</v>
      </c>
      <c r="H185" s="17"/>
      <c r="J185" s="94" t="s">
        <v>243</v>
      </c>
      <c r="K185" s="29"/>
      <c r="L185" s="30"/>
      <c r="M185" s="29"/>
      <c r="N185" s="30"/>
      <c r="O185" s="29"/>
      <c r="P185" s="30"/>
      <c r="Q185" s="29"/>
      <c r="R185" s="30"/>
      <c r="S185" s="29"/>
      <c r="T185" s="30"/>
      <c r="V185" s="50">
        <f t="shared" si="229"/>
        <v>0.2741398446170921</v>
      </c>
      <c r="W185" s="50">
        <f t="shared" si="230"/>
        <v>0.2952275249722531</v>
      </c>
      <c r="X185" s="50">
        <f t="shared" si="231"/>
        <v>0.25305216426193117</v>
      </c>
      <c r="Y185" s="50">
        <f t="shared" si="232"/>
        <v>0.17758046614872364</v>
      </c>
      <c r="Z185" s="50">
        <f t="shared" si="233"/>
        <v>1</v>
      </c>
    </row>
    <row r="186" spans="2:10" ht="13.5" customHeight="1">
      <c r="B186" s="24" t="s">
        <v>244</v>
      </c>
      <c r="C186" s="25">
        <f>C184+C185</f>
        <v>455762.61</v>
      </c>
      <c r="D186" s="25">
        <f>D184+D185</f>
        <v>491448.34</v>
      </c>
      <c r="E186" s="25">
        <f>E184+E185</f>
        <v>423977.27</v>
      </c>
      <c r="F186" s="25">
        <f>F184+F185</f>
        <v>306630.27</v>
      </c>
      <c r="G186" s="75">
        <f>G184+G185</f>
        <v>1677818.49</v>
      </c>
      <c r="H186" s="77"/>
      <c r="J186" s="94" t="s">
        <v>244</v>
      </c>
    </row>
    <row r="187" spans="2:26" ht="13.5" customHeight="1">
      <c r="B187" s="23" t="s">
        <v>240</v>
      </c>
      <c r="C187" s="10">
        <v>422545.77</v>
      </c>
      <c r="D187" s="67">
        <v>447962.97</v>
      </c>
      <c r="E187" s="67">
        <v>394335.34</v>
      </c>
      <c r="F187" s="55">
        <v>306724.9</v>
      </c>
      <c r="G187" s="102">
        <f>G185+G186</f>
        <v>1587718.49</v>
      </c>
      <c r="H187" s="17"/>
      <c r="J187" s="94" t="s">
        <v>240</v>
      </c>
      <c r="K187" s="29">
        <f aca="true" t="shared" si="234" ref="K187:K192">C187/C186</f>
        <v>0.9271181108954946</v>
      </c>
      <c r="L187" s="30">
        <f>K187*L184</f>
        <v>0.7993600665034292</v>
      </c>
      <c r="M187" s="29">
        <f aca="true" t="shared" si="235" ref="M187:M192">D187/D186</f>
        <v>0.9115158879161133</v>
      </c>
      <c r="N187" s="30">
        <f>M187*N184</f>
        <v>1.8857400399947202</v>
      </c>
      <c r="O187" s="29">
        <f aca="true" t="shared" si="236" ref="O187:O192">E187/E186</f>
        <v>0.9300860397539708</v>
      </c>
      <c r="P187" s="30">
        <f>O187*P184</f>
        <v>1.775189329305498</v>
      </c>
      <c r="Q187" s="30">
        <f aca="true" t="shared" si="237" ref="Q187:Q192">F187/F186</f>
        <v>1.0003086127145895</v>
      </c>
      <c r="R187" s="30">
        <f>Q187*R184</f>
        <v>1.5835254066593591</v>
      </c>
      <c r="S187" s="29">
        <f aca="true" t="shared" si="238" ref="S187:S192">G187/G186</f>
        <v>0.9462993163223514</v>
      </c>
      <c r="T187" s="30">
        <f>S187*T184</f>
        <v>1.5695889087817552</v>
      </c>
      <c r="V187" s="50">
        <f aca="true" t="shared" si="239" ref="V187:V192">C187/G187</f>
        <v>0.26613393536784974</v>
      </c>
      <c r="W187" s="50">
        <f aca="true" t="shared" si="240" ref="W187:W192">D187/G187</f>
        <v>0.2821425667216359</v>
      </c>
      <c r="X187" s="50">
        <f aca="true" t="shared" si="241" ref="X187:X192">E187/G187</f>
        <v>0.24836603118478517</v>
      </c>
      <c r="Y187" s="50">
        <f aca="true" t="shared" si="242" ref="Y187:Y192">F187/G187</f>
        <v>0.19318594696217214</v>
      </c>
      <c r="Z187" s="50">
        <f aca="true" t="shared" si="243" ref="Z187:Z192">SUM(V187:Y187)</f>
        <v>0.989828480236443</v>
      </c>
    </row>
    <row r="188" spans="2:26" ht="13.5" customHeight="1">
      <c r="B188" s="23" t="s">
        <v>241</v>
      </c>
      <c r="C188" s="10">
        <v>433949.32</v>
      </c>
      <c r="D188" s="67">
        <v>462855.42</v>
      </c>
      <c r="E188" s="67">
        <v>405580.05</v>
      </c>
      <c r="F188" s="55">
        <v>308828.7</v>
      </c>
      <c r="G188" s="68">
        <f aca="true" t="shared" si="244" ref="G188:G217">SUM(C188:F188)</f>
        <v>1611213.49</v>
      </c>
      <c r="H188" s="17"/>
      <c r="J188" s="94" t="s">
        <v>241</v>
      </c>
      <c r="K188" s="29">
        <f t="shared" si="234"/>
        <v>1.0269877272703498</v>
      </c>
      <c r="L188" s="30">
        <f aca="true" t="shared" si="245" ref="L188:L193">K188*L187</f>
        <v>0.8209329779690324</v>
      </c>
      <c r="M188" s="29">
        <f t="shared" si="235"/>
        <v>1.0332448237853231</v>
      </c>
      <c r="N188" s="30">
        <f aca="true" t="shared" si="246" ref="N188:N193">M188*N187</f>
        <v>1.948431135329273</v>
      </c>
      <c r="O188" s="29">
        <f t="shared" si="236"/>
        <v>1.02851560298907</v>
      </c>
      <c r="P188" s="30">
        <f aca="true" t="shared" si="247" ref="P188:P193">O188*P187</f>
        <v>1.8258099234504073</v>
      </c>
      <c r="Q188" s="30">
        <f t="shared" si="237"/>
        <v>1.0068589149429994</v>
      </c>
      <c r="R188" s="30">
        <f aca="true" t="shared" si="248" ref="R188:R193">Q188*R187</f>
        <v>1.5943866727337141</v>
      </c>
      <c r="S188" s="29">
        <f t="shared" si="238"/>
        <v>1.0147979633341677</v>
      </c>
      <c r="T188" s="30">
        <f aca="true" t="shared" si="249" ref="T188:T193">S188*T187</f>
        <v>1.5928156279036239</v>
      </c>
      <c r="V188" s="50">
        <f t="shared" si="239"/>
        <v>0.2693307390319827</v>
      </c>
      <c r="W188" s="50">
        <f t="shared" si="240"/>
        <v>0.2872713162301043</v>
      </c>
      <c r="X188" s="50">
        <f t="shared" si="241"/>
        <v>0.2517233454891195</v>
      </c>
      <c r="Y188" s="50">
        <f t="shared" si="242"/>
        <v>0.19167459924879354</v>
      </c>
      <c r="Z188" s="50">
        <f t="shared" si="243"/>
        <v>1</v>
      </c>
    </row>
    <row r="189" spans="2:26" ht="13.5" customHeight="1">
      <c r="B189" s="16" t="s">
        <v>245</v>
      </c>
      <c r="C189" s="10">
        <v>437749.02</v>
      </c>
      <c r="D189" s="67">
        <v>459550.44</v>
      </c>
      <c r="E189" s="67">
        <v>412594.08</v>
      </c>
      <c r="F189" s="55">
        <v>313560.79</v>
      </c>
      <c r="G189" s="68">
        <f t="shared" si="244"/>
        <v>1623454.33</v>
      </c>
      <c r="H189" s="17"/>
      <c r="J189" s="94" t="s">
        <v>245</v>
      </c>
      <c r="K189" s="29">
        <f t="shared" si="234"/>
        <v>1.0087560916099603</v>
      </c>
      <c r="L189" s="30">
        <f t="shared" si="245"/>
        <v>0.8281211423297667</v>
      </c>
      <c r="M189" s="29">
        <f t="shared" si="235"/>
        <v>0.992859584532898</v>
      </c>
      <c r="N189" s="30">
        <f t="shared" si="246"/>
        <v>1.9345185275139847</v>
      </c>
      <c r="O189" s="29">
        <f t="shared" si="236"/>
        <v>1.0172938239935618</v>
      </c>
      <c r="P189" s="30">
        <f t="shared" si="247"/>
        <v>1.8573851589122572</v>
      </c>
      <c r="Q189" s="30">
        <f t="shared" si="237"/>
        <v>1.0153227015494348</v>
      </c>
      <c r="R189" s="30">
        <f t="shared" si="248"/>
        <v>1.6188169838744093</v>
      </c>
      <c r="S189" s="29">
        <f t="shared" si="238"/>
        <v>1.0075972799855344</v>
      </c>
      <c r="T189" s="30">
        <f t="shared" si="249"/>
        <v>1.6049166941941424</v>
      </c>
      <c r="V189" s="50">
        <f t="shared" si="239"/>
        <v>0.2696404893631963</v>
      </c>
      <c r="W189" s="50">
        <f t="shared" si="240"/>
        <v>0.2830695212719658</v>
      </c>
      <c r="X189" s="50">
        <f t="shared" si="241"/>
        <v>0.2541457880124044</v>
      </c>
      <c r="Y189" s="50">
        <f t="shared" si="242"/>
        <v>0.19314420135243346</v>
      </c>
      <c r="Z189" s="50">
        <f t="shared" si="243"/>
        <v>1</v>
      </c>
    </row>
    <row r="190" spans="2:26" ht="13.5" customHeight="1">
      <c r="B190" s="16" t="s">
        <v>246</v>
      </c>
      <c r="C190" s="10">
        <v>452838.29</v>
      </c>
      <c r="D190" s="67">
        <v>470989.9</v>
      </c>
      <c r="E190" s="67">
        <v>419710.03</v>
      </c>
      <c r="F190" s="55">
        <v>314448.67</v>
      </c>
      <c r="G190" s="68">
        <f t="shared" si="244"/>
        <v>1657986.89</v>
      </c>
      <c r="H190" s="17"/>
      <c r="J190" s="94" t="s">
        <v>246</v>
      </c>
      <c r="K190" s="29">
        <f t="shared" si="234"/>
        <v>1.0344701399902618</v>
      </c>
      <c r="L190" s="30">
        <f t="shared" si="245"/>
        <v>0.8566665940347693</v>
      </c>
      <c r="M190" s="29">
        <f t="shared" si="235"/>
        <v>1.0248927190669213</v>
      </c>
      <c r="N190" s="30">
        <f t="shared" si="246"/>
        <v>1.9826739537491445</v>
      </c>
      <c r="O190" s="29">
        <f t="shared" si="236"/>
        <v>1.0172468543416813</v>
      </c>
      <c r="P190" s="30">
        <f t="shared" si="247"/>
        <v>1.8894192102044174</v>
      </c>
      <c r="Q190" s="30">
        <f t="shared" si="237"/>
        <v>1.0028316040407985</v>
      </c>
      <c r="R190" s="30">
        <f t="shared" si="248"/>
        <v>1.6234008325872613</v>
      </c>
      <c r="S190" s="29">
        <f t="shared" si="238"/>
        <v>1.021271038773231</v>
      </c>
      <c r="T190" s="30">
        <f t="shared" si="249"/>
        <v>1.6390549394241518</v>
      </c>
      <c r="V190" s="50">
        <f t="shared" si="239"/>
        <v>0.2731253743508189</v>
      </c>
      <c r="W190" s="50">
        <f t="shared" si="240"/>
        <v>0.2840733559720729</v>
      </c>
      <c r="X190" s="50">
        <f t="shared" si="241"/>
        <v>0.25314435990504125</v>
      </c>
      <c r="Y190" s="50">
        <f t="shared" si="242"/>
        <v>0.189656909772067</v>
      </c>
      <c r="Z190" s="50">
        <f t="shared" si="243"/>
        <v>1</v>
      </c>
    </row>
    <row r="191" spans="2:26" ht="13.5" customHeight="1">
      <c r="B191" s="16" t="s">
        <v>247</v>
      </c>
      <c r="C191" s="10">
        <v>460849.18</v>
      </c>
      <c r="D191" s="67">
        <v>473744.27</v>
      </c>
      <c r="E191" s="67">
        <v>434980.02</v>
      </c>
      <c r="F191" s="55">
        <v>316270.28</v>
      </c>
      <c r="G191" s="68">
        <f t="shared" si="244"/>
        <v>1685843.75</v>
      </c>
      <c r="H191" s="17"/>
      <c r="J191" s="94" t="s">
        <v>247</v>
      </c>
      <c r="K191" s="29">
        <f t="shared" si="234"/>
        <v>1.0176903989280588</v>
      </c>
      <c r="L191" s="30">
        <f t="shared" si="245"/>
        <v>0.8718213678315858</v>
      </c>
      <c r="M191" s="29">
        <f t="shared" si="235"/>
        <v>1.005848044724526</v>
      </c>
      <c r="N191" s="30">
        <f t="shared" si="246"/>
        <v>1.9942687197048221</v>
      </c>
      <c r="O191" s="29">
        <f t="shared" si="236"/>
        <v>1.03638223751765</v>
      </c>
      <c r="P191" s="30">
        <f t="shared" si="247"/>
        <v>1.958160508680485</v>
      </c>
      <c r="Q191" s="30">
        <f t="shared" si="237"/>
        <v>1.0057930281594132</v>
      </c>
      <c r="R191" s="30">
        <f t="shared" si="248"/>
        <v>1.632805239324454</v>
      </c>
      <c r="S191" s="29">
        <f t="shared" si="238"/>
        <v>1.0168016165676679</v>
      </c>
      <c r="T191" s="30">
        <f t="shared" si="249"/>
        <v>1.6665937120496985</v>
      </c>
      <c r="V191" s="50">
        <f t="shared" si="239"/>
        <v>0.2733641121841808</v>
      </c>
      <c r="W191" s="50">
        <f t="shared" si="240"/>
        <v>0.2810131543922739</v>
      </c>
      <c r="X191" s="50">
        <f t="shared" si="241"/>
        <v>0.25801917882366027</v>
      </c>
      <c r="Y191" s="50">
        <f t="shared" si="242"/>
        <v>0.1876035545998851</v>
      </c>
      <c r="Z191" s="50">
        <f t="shared" si="243"/>
        <v>1</v>
      </c>
    </row>
    <row r="192" spans="2:26" ht="13.5" customHeight="1">
      <c r="B192" s="16" t="s">
        <v>248</v>
      </c>
      <c r="C192" s="10">
        <v>444025.25</v>
      </c>
      <c r="D192" s="67">
        <v>469949.12</v>
      </c>
      <c r="E192" s="67">
        <v>429531.81</v>
      </c>
      <c r="F192" s="55">
        <v>317553.02</v>
      </c>
      <c r="G192" s="68">
        <f t="shared" si="244"/>
        <v>1661059.2</v>
      </c>
      <c r="H192" s="17"/>
      <c r="J192" s="94" t="s">
        <v>248</v>
      </c>
      <c r="K192" s="29">
        <f t="shared" si="234"/>
        <v>0.9634936314739673</v>
      </c>
      <c r="L192" s="30">
        <f t="shared" si="245"/>
        <v>0.839994335688656</v>
      </c>
      <c r="M192" s="29">
        <f t="shared" si="235"/>
        <v>0.9919890323950514</v>
      </c>
      <c r="N192" s="30">
        <f t="shared" si="246"/>
        <v>1.9782926975957045</v>
      </c>
      <c r="O192" s="29">
        <f t="shared" si="236"/>
        <v>0.9874748040151361</v>
      </c>
      <c r="P192" s="30">
        <f t="shared" si="247"/>
        <v>1.933634164539441</v>
      </c>
      <c r="Q192" s="30">
        <f t="shared" si="237"/>
        <v>1.0040558347752435</v>
      </c>
      <c r="R192" s="30">
        <f t="shared" si="248"/>
        <v>1.6394276275953061</v>
      </c>
      <c r="S192" s="29">
        <f t="shared" si="238"/>
        <v>0.9852984299404971</v>
      </c>
      <c r="T192" s="30">
        <f t="shared" si="249"/>
        <v>1.642092167831273</v>
      </c>
      <c r="V192" s="50">
        <f t="shared" si="239"/>
        <v>0.2673145243709556</v>
      </c>
      <c r="W192" s="50">
        <f t="shared" si="240"/>
        <v>0.2829213552412822</v>
      </c>
      <c r="X192" s="50">
        <f t="shared" si="241"/>
        <v>0.2585891038681824</v>
      </c>
      <c r="Y192" s="50">
        <f t="shared" si="242"/>
        <v>0.1911750165195798</v>
      </c>
      <c r="Z192" s="50">
        <f t="shared" si="243"/>
        <v>1</v>
      </c>
    </row>
    <row r="193" spans="2:26" ht="13.5" customHeight="1">
      <c r="B193" s="16" t="s">
        <v>249</v>
      </c>
      <c r="C193" s="10">
        <v>448755.01</v>
      </c>
      <c r="D193" s="67">
        <v>472874.69</v>
      </c>
      <c r="E193" s="67">
        <v>429341.04</v>
      </c>
      <c r="F193" s="55">
        <v>318072.68</v>
      </c>
      <c r="G193" s="68">
        <f t="shared" si="244"/>
        <v>1669043.42</v>
      </c>
      <c r="H193" s="17"/>
      <c r="J193" s="94" t="s">
        <v>249</v>
      </c>
      <c r="K193" s="29">
        <f>C193/C192</f>
        <v>1.0106520068397011</v>
      </c>
      <c r="L193" s="30">
        <f t="shared" si="245"/>
        <v>0.8489419610977218</v>
      </c>
      <c r="M193" s="29">
        <f>D193/D192</f>
        <v>1.0062252909421343</v>
      </c>
      <c r="N193" s="30">
        <f t="shared" si="246"/>
        <v>1.9906081452069375</v>
      </c>
      <c r="O193" s="29">
        <f>E193/E192</f>
        <v>0.9995558652571039</v>
      </c>
      <c r="P193" s="30">
        <f t="shared" si="247"/>
        <v>1.9327753704269182</v>
      </c>
      <c r="Q193" s="30">
        <f>F193/F192</f>
        <v>1.0016364511349947</v>
      </c>
      <c r="R193" s="30">
        <f t="shared" si="248"/>
        <v>1.642110470797226</v>
      </c>
      <c r="S193" s="29">
        <f>G193/G192</f>
        <v>1.0048067040596746</v>
      </c>
      <c r="T193" s="30">
        <f t="shared" si="249"/>
        <v>1.6499852189207476</v>
      </c>
      <c r="V193" s="50">
        <f>C193/G193</f>
        <v>0.26886958399200905</v>
      </c>
      <c r="W193" s="50">
        <f>D193/G193</f>
        <v>0.28332078382957826</v>
      </c>
      <c r="X193" s="50">
        <f>E193/G193</f>
        <v>0.25723778953575693</v>
      </c>
      <c r="Y193" s="50">
        <f>F193/G193</f>
        <v>0.19057184264265575</v>
      </c>
      <c r="Z193" s="50">
        <f>SUM(V193:Y193)</f>
        <v>1</v>
      </c>
    </row>
    <row r="194" spans="2:26" ht="13.5" customHeight="1">
      <c r="B194" s="16" t="s">
        <v>250</v>
      </c>
      <c r="C194" s="10">
        <v>446038.57</v>
      </c>
      <c r="D194" s="67">
        <v>481163.72</v>
      </c>
      <c r="E194" s="67">
        <v>445215.99</v>
      </c>
      <c r="F194" s="55">
        <v>317644.77</v>
      </c>
      <c r="G194" s="68">
        <f t="shared" si="244"/>
        <v>1690063.05</v>
      </c>
      <c r="H194" s="17"/>
      <c r="J194" s="94" t="s">
        <v>250</v>
      </c>
      <c r="K194" s="29">
        <f>C194/C193</f>
        <v>0.9939467193915005</v>
      </c>
      <c r="L194" s="30">
        <f>K194*L193</f>
        <v>0.8438030771868674</v>
      </c>
      <c r="M194" s="29">
        <f>D194/D193</f>
        <v>1.0175290202146365</v>
      </c>
      <c r="N194" s="30">
        <f>M194*N193</f>
        <v>2.02550155562369</v>
      </c>
      <c r="O194" s="29">
        <f>E194/E193</f>
        <v>1.036975151501939</v>
      </c>
      <c r="P194" s="30">
        <f>O194*P193</f>
        <v>2.0042400325676697</v>
      </c>
      <c r="Q194" s="30">
        <f>F194/F193</f>
        <v>0.9986546785470541</v>
      </c>
      <c r="R194" s="30">
        <f>Q194*R193</f>
        <v>1.6399013043527555</v>
      </c>
      <c r="S194" s="29">
        <f>G194/G193</f>
        <v>1.012593818559855</v>
      </c>
      <c r="T194" s="30">
        <f>S194*T193</f>
        <v>1.6707648333942782</v>
      </c>
      <c r="V194" s="50">
        <f>C194/G194</f>
        <v>0.2639183017461982</v>
      </c>
      <c r="W194" s="50">
        <f>D194/G194</f>
        <v>0.28470163879388993</v>
      </c>
      <c r="X194" s="50">
        <f>E194/G194</f>
        <v>0.2634315861766222</v>
      </c>
      <c r="Y194" s="50">
        <f>F194/G194</f>
        <v>0.18794847328328965</v>
      </c>
      <c r="Z194" s="50">
        <f>SUM(V194:Y194)</f>
        <v>1</v>
      </c>
    </row>
    <row r="195" spans="2:26" ht="13.5" customHeight="1">
      <c r="B195" s="23" t="s">
        <v>251</v>
      </c>
      <c r="C195" s="10">
        <v>466616.82</v>
      </c>
      <c r="D195" s="67">
        <v>503481.27</v>
      </c>
      <c r="E195" s="67">
        <v>487099.2</v>
      </c>
      <c r="F195" s="55">
        <v>316291.77</v>
      </c>
      <c r="G195" s="68">
        <f t="shared" si="244"/>
        <v>1773489.06</v>
      </c>
      <c r="H195" s="17"/>
      <c r="J195" s="94" t="s">
        <v>251</v>
      </c>
      <c r="K195" s="29">
        <f>C195/C194</f>
        <v>1.0461355841939857</v>
      </c>
      <c r="L195" s="30">
        <f>K195*L194</f>
        <v>0.8827324250975663</v>
      </c>
      <c r="M195" s="29">
        <f>D195/D194</f>
        <v>1.0463824454595205</v>
      </c>
      <c r="N195" s="30">
        <f>M195*N194</f>
        <v>2.1194492710555797</v>
      </c>
      <c r="O195" s="29">
        <f>E195/E194</f>
        <v>1.0940739123049017</v>
      </c>
      <c r="P195" s="30">
        <f>O195*P194</f>
        <v>2.192786733629414</v>
      </c>
      <c r="Q195" s="30">
        <f>F195/F194</f>
        <v>0.9957405248636708</v>
      </c>
      <c r="R195" s="30">
        <f>Q195*R194</f>
        <v>1.6329161855208312</v>
      </c>
      <c r="S195" s="29">
        <f>G195/G194</f>
        <v>1.0493626613515987</v>
      </c>
      <c r="T195" s="30">
        <f>S195*T194</f>
        <v>1.7532382320632802</v>
      </c>
      <c r="V195" s="50">
        <f>C195/G195</f>
        <v>0.26310668079339605</v>
      </c>
      <c r="W195" s="50">
        <f>D195/G195</f>
        <v>0.28389307910362865</v>
      </c>
      <c r="X195" s="50">
        <f>E195/G195</f>
        <v>0.27465588087698717</v>
      </c>
      <c r="Y195" s="50">
        <f>F195/G195</f>
        <v>0.17834435922598812</v>
      </c>
      <c r="Z195" s="50">
        <f>SUM(V195:Y195)</f>
        <v>1</v>
      </c>
    </row>
    <row r="196" spans="2:26" ht="13.5" customHeight="1">
      <c r="B196" s="95" t="s">
        <v>253</v>
      </c>
      <c r="C196" s="25">
        <v>5687</v>
      </c>
      <c r="D196" s="59">
        <v>6124</v>
      </c>
      <c r="E196" s="59">
        <v>5250</v>
      </c>
      <c r="F196" s="59">
        <v>3684</v>
      </c>
      <c r="G196" s="82">
        <f t="shared" si="244"/>
        <v>20745</v>
      </c>
      <c r="H196" s="17"/>
      <c r="J196" s="94" t="s">
        <v>253</v>
      </c>
      <c r="K196" s="88" t="s">
        <v>255</v>
      </c>
      <c r="L196" s="85"/>
      <c r="M196" s="86"/>
      <c r="N196" s="85"/>
      <c r="O196" s="86"/>
      <c r="P196" s="85"/>
      <c r="Q196" s="86"/>
      <c r="R196" s="85"/>
      <c r="S196" s="86"/>
      <c r="T196" s="87"/>
      <c r="V196" s="50"/>
      <c r="W196" s="50"/>
      <c r="X196" s="50"/>
      <c r="Y196" s="50"/>
      <c r="Z196" s="50"/>
    </row>
    <row r="197" spans="2:26" ht="13.5" customHeight="1">
      <c r="B197" s="95" t="s">
        <v>254</v>
      </c>
      <c r="C197" s="25">
        <f>C195+C196</f>
        <v>472303.82</v>
      </c>
      <c r="D197" s="25">
        <f>D195+D196</f>
        <v>509605.27</v>
      </c>
      <c r="E197" s="25">
        <f>E195+E196</f>
        <v>492349.2</v>
      </c>
      <c r="F197" s="25">
        <f>F195+F196</f>
        <v>319975.77</v>
      </c>
      <c r="G197" s="82">
        <f t="shared" si="244"/>
        <v>1794234.06</v>
      </c>
      <c r="H197" s="17"/>
      <c r="J197" s="94" t="s">
        <v>254</v>
      </c>
      <c r="K197" s="29"/>
      <c r="L197" s="30"/>
      <c r="M197" s="29"/>
      <c r="N197" s="30"/>
      <c r="O197" s="29"/>
      <c r="P197" s="30"/>
      <c r="Q197" s="30"/>
      <c r="R197" s="30"/>
      <c r="S197" s="29"/>
      <c r="T197" s="30"/>
      <c r="V197" s="50"/>
      <c r="W197" s="50"/>
      <c r="X197" s="50"/>
      <c r="Y197" s="50"/>
      <c r="Z197" s="50"/>
    </row>
    <row r="198" spans="2:26" ht="13.5" customHeight="1">
      <c r="B198" s="23" t="s">
        <v>252</v>
      </c>
      <c r="C198" s="10">
        <v>468202.08</v>
      </c>
      <c r="D198" s="55">
        <v>503981.4</v>
      </c>
      <c r="E198" s="55">
        <v>490315.06</v>
      </c>
      <c r="F198" s="55">
        <v>321581.29</v>
      </c>
      <c r="G198" s="109">
        <f t="shared" si="244"/>
        <v>1784079.83</v>
      </c>
      <c r="H198" s="17"/>
      <c r="J198" s="94" t="s">
        <v>252</v>
      </c>
      <c r="K198" s="29">
        <f>0.75*C198/C197+0.25*(C198-C196)/C195</f>
        <v>0.9912890018011759</v>
      </c>
      <c r="L198" s="30">
        <f>K198*L195</f>
        <v>0.8750429445324978</v>
      </c>
      <c r="M198" s="29">
        <f>0.75*D198/D197+0.25*(D198-D196)/D195</f>
        <v>0.9889307046962097</v>
      </c>
      <c r="N198" s="30">
        <f>M198*N195</f>
        <v>2.0959884611928623</v>
      </c>
      <c r="O198" s="29">
        <f>0.75*E198/E197+0.25*(E198-E196)/E195</f>
        <v>0.9958573690441155</v>
      </c>
      <c r="P198" s="30">
        <f>O198*P195</f>
        <v>2.183702827427028</v>
      </c>
      <c r="Q198" s="29">
        <f>0.75*F198/F197+0.25*(F198-F196)/F195</f>
        <v>1.0050322406065357</v>
      </c>
      <c r="R198" s="30">
        <f>Q198*R195</f>
        <v>1.6411334126566786</v>
      </c>
      <c r="S198" s="29">
        <f>0.75*G198/G197+0.25*(G198-G196)/G195</f>
        <v>0.9943240826558736</v>
      </c>
      <c r="T198" s="30">
        <f>S198*T195</f>
        <v>1.7432869967735267</v>
      </c>
      <c r="V198" s="50">
        <f>C198/G198</f>
        <v>0.262433368802785</v>
      </c>
      <c r="W198" s="50">
        <f>D198/G198</f>
        <v>0.2824881440422988</v>
      </c>
      <c r="X198" s="50">
        <f>E198/G198</f>
        <v>0.2748279823330551</v>
      </c>
      <c r="Y198" s="50">
        <f>F198/G198</f>
        <v>0.180250504821861</v>
      </c>
      <c r="Z198" s="50">
        <f>SUM(V198:Y198)</f>
        <v>1</v>
      </c>
    </row>
    <row r="199" spans="2:26" ht="13.5" customHeight="1">
      <c r="B199" s="23" t="s">
        <v>256</v>
      </c>
      <c r="C199" s="10">
        <v>480172.7</v>
      </c>
      <c r="D199" s="67">
        <v>512534.22</v>
      </c>
      <c r="E199" s="67">
        <v>510307</v>
      </c>
      <c r="F199" s="55">
        <v>321731</v>
      </c>
      <c r="G199" s="68">
        <f t="shared" si="244"/>
        <v>1824744.92</v>
      </c>
      <c r="H199" s="17"/>
      <c r="J199" s="94" t="s">
        <v>256</v>
      </c>
      <c r="K199" s="29">
        <f>C199/C198</f>
        <v>1.0255672080739153</v>
      </c>
      <c r="L199" s="30">
        <f>K199*L198</f>
        <v>0.8974153495689716</v>
      </c>
      <c r="M199" s="29">
        <f>D199/D198</f>
        <v>1.0169705072449102</v>
      </c>
      <c r="N199" s="30">
        <f>M199*N198</f>
        <v>2.131558448558784</v>
      </c>
      <c r="O199" s="29">
        <f>E199/E198</f>
        <v>1.040773660919165</v>
      </c>
      <c r="P199" s="30">
        <f>O199*P198</f>
        <v>2.2727403860607596</v>
      </c>
      <c r="Q199" s="30">
        <f>F199/F198</f>
        <v>1.0004655432534648</v>
      </c>
      <c r="R199" s="30">
        <f>Q199*R198</f>
        <v>1.6418974312449766</v>
      </c>
      <c r="S199" s="29">
        <f>G199/G198</f>
        <v>1.02279331300999</v>
      </c>
      <c r="T199" s="30">
        <f>S199*T198</f>
        <v>1.783022282957231</v>
      </c>
      <c r="V199" s="50">
        <f>C199/G199</f>
        <v>0.2631451085228943</v>
      </c>
      <c r="W199" s="50">
        <f>D199/G199</f>
        <v>0.28087992704207665</v>
      </c>
      <c r="X199" s="50">
        <f>E199/G199</f>
        <v>0.27965936192330926</v>
      </c>
      <c r="Y199" s="50">
        <f>F199/G199</f>
        <v>0.17631560251171985</v>
      </c>
      <c r="Z199" s="50">
        <f>SUM(V199:Y199)</f>
        <v>1</v>
      </c>
    </row>
    <row r="200" spans="2:26" ht="13.5" customHeight="1">
      <c r="B200" s="23" t="s">
        <v>257</v>
      </c>
      <c r="C200" s="10">
        <v>484262.91</v>
      </c>
      <c r="D200" s="67">
        <v>509868.59</v>
      </c>
      <c r="E200" s="67">
        <v>531861.6</v>
      </c>
      <c r="F200" s="55">
        <v>325431.06</v>
      </c>
      <c r="G200" s="68">
        <f t="shared" si="244"/>
        <v>1851424.1600000001</v>
      </c>
      <c r="H200" s="17"/>
      <c r="J200" s="96" t="s">
        <v>257</v>
      </c>
      <c r="K200" s="29">
        <f>C200/C199</f>
        <v>1.00851820605378</v>
      </c>
      <c r="L200" s="30">
        <f>K200*L199</f>
        <v>0.9050597184324252</v>
      </c>
      <c r="M200" s="29">
        <f>D200/D199</f>
        <v>0.9947991179984041</v>
      </c>
      <c r="N200" s="30">
        <f>M200*N199</f>
        <v>2.120472464588325</v>
      </c>
      <c r="O200" s="29">
        <f>E200/E199</f>
        <v>1.0422384956506574</v>
      </c>
      <c r="P200" s="30">
        <f>O200*P199</f>
        <v>2.3687375209724606</v>
      </c>
      <c r="Q200" s="30">
        <f>F200/F199</f>
        <v>1.0115004771066511</v>
      </c>
      <c r="R200" s="30">
        <f>Q200*R199</f>
        <v>1.6607800350644788</v>
      </c>
      <c r="S200" s="29">
        <f>G200/G199</f>
        <v>1.0146208051917744</v>
      </c>
      <c r="T200" s="30">
        <f>S200*T199</f>
        <v>1.8090915044089417</v>
      </c>
      <c r="V200" s="50">
        <f>C200/G200</f>
        <v>0.26156238017332556</v>
      </c>
      <c r="W200" s="50">
        <f>D200/G200</f>
        <v>0.275392641521973</v>
      </c>
      <c r="X200" s="50">
        <f>E200/G200</f>
        <v>0.2872716104126026</v>
      </c>
      <c r="Y200" s="50">
        <f>F200/G200</f>
        <v>0.1757733678920988</v>
      </c>
      <c r="Z200" s="50">
        <f>SUM(V200:Y200)</f>
        <v>0.9999999999999998</v>
      </c>
    </row>
    <row r="201" spans="2:26" ht="13.5" customHeight="1">
      <c r="B201" s="24" t="s">
        <v>258</v>
      </c>
      <c r="C201" s="25">
        <v>-24000</v>
      </c>
      <c r="D201" s="25">
        <v>-25600</v>
      </c>
      <c r="E201" s="25">
        <v>-25500</v>
      </c>
      <c r="F201" s="25">
        <v>-16100</v>
      </c>
      <c r="G201" s="26">
        <f t="shared" si="244"/>
        <v>-91200</v>
      </c>
      <c r="H201" s="17"/>
      <c r="J201" s="96" t="s">
        <v>258</v>
      </c>
      <c r="K201" s="29"/>
      <c r="L201" s="30"/>
      <c r="M201" s="29"/>
      <c r="N201" s="30"/>
      <c r="O201" s="29"/>
      <c r="P201" s="30"/>
      <c r="Q201" s="30"/>
      <c r="R201" s="30"/>
      <c r="S201" s="29"/>
      <c r="T201" s="30"/>
      <c r="V201" s="50"/>
      <c r="W201" s="50"/>
      <c r="X201" s="50"/>
      <c r="Y201" s="50"/>
      <c r="Z201" s="50"/>
    </row>
    <row r="202" spans="2:26" ht="13.5" customHeight="1">
      <c r="B202" s="24" t="s">
        <v>259</v>
      </c>
      <c r="C202" s="25">
        <f>C200+C201</f>
        <v>460262.91</v>
      </c>
      <c r="D202" s="25">
        <f>D200+D201</f>
        <v>484268.59</v>
      </c>
      <c r="E202" s="25">
        <f>E200+E201</f>
        <v>506361.6</v>
      </c>
      <c r="F202" s="25">
        <f>F200+F201</f>
        <v>309331.06</v>
      </c>
      <c r="G202" s="75">
        <f t="shared" si="244"/>
        <v>1760224.1600000001</v>
      </c>
      <c r="H202" s="17"/>
      <c r="J202" s="96" t="s">
        <v>259</v>
      </c>
      <c r="K202" s="29"/>
      <c r="L202" s="30"/>
      <c r="M202" s="29"/>
      <c r="N202" s="30"/>
      <c r="O202" s="29"/>
      <c r="P202" s="30"/>
      <c r="Q202" s="30"/>
      <c r="R202" s="30"/>
      <c r="S202" s="29"/>
      <c r="T202" s="30"/>
      <c r="V202" s="50"/>
      <c r="W202" s="50"/>
      <c r="X202" s="50"/>
      <c r="Y202" s="50"/>
      <c r="Z202" s="50"/>
    </row>
    <row r="203" spans="2:26" ht="13.5" customHeight="1">
      <c r="B203" s="23" t="s">
        <v>260</v>
      </c>
      <c r="C203" s="10">
        <v>481484.54</v>
      </c>
      <c r="D203" s="67">
        <v>508725.36</v>
      </c>
      <c r="E203" s="67">
        <v>517965.19</v>
      </c>
      <c r="F203" s="55">
        <v>302906.17</v>
      </c>
      <c r="G203" s="68">
        <f t="shared" si="244"/>
        <v>1811081.2599999998</v>
      </c>
      <c r="H203" s="17"/>
      <c r="J203" s="96" t="s">
        <v>260</v>
      </c>
      <c r="K203" s="29">
        <f aca="true" t="shared" si="250" ref="K203:K208">C203/C202</f>
        <v>1.0461076257480753</v>
      </c>
      <c r="L203" s="30">
        <f>K203*L200</f>
        <v>0.9467898732095658</v>
      </c>
      <c r="M203" s="29">
        <f aca="true" t="shared" si="251" ref="M203:M208">D203/D202</f>
        <v>1.050502490776864</v>
      </c>
      <c r="N203" s="30">
        <f>M203*N200</f>
        <v>2.2275616056737912</v>
      </c>
      <c r="O203" s="29">
        <f aca="true" t="shared" si="252" ref="O203:O208">E203/E202</f>
        <v>1.0229156199838219</v>
      </c>
      <c r="P203" s="30">
        <f>O203*P200</f>
        <v>2.423018609844486</v>
      </c>
      <c r="Q203" s="30">
        <f aca="true" t="shared" si="253" ref="Q203:Q208">F203/F202</f>
        <v>0.9792297288219295</v>
      </c>
      <c r="R203" s="30">
        <f>Q203*R200</f>
        <v>1.6262851833690641</v>
      </c>
      <c r="S203" s="29">
        <f aca="true" t="shared" si="254" ref="S203:S208">G203/G202</f>
        <v>1.0288923997043646</v>
      </c>
      <c r="T203" s="30">
        <f>S203*T200</f>
        <v>1.8613604992560953</v>
      </c>
      <c r="V203" s="50">
        <f aca="true" t="shared" si="255" ref="V203:V208">C203/G203</f>
        <v>0.2658547413825043</v>
      </c>
      <c r="W203" s="50">
        <f aca="true" t="shared" si="256" ref="W203:W208">D203/G203</f>
        <v>0.28089593285284176</v>
      </c>
      <c r="X203" s="50">
        <f aca="true" t="shared" si="257" ref="X203:X208">E203/G203</f>
        <v>0.2859977635680467</v>
      </c>
      <c r="Y203" s="50">
        <f aca="true" t="shared" si="258" ref="Y203:Y208">F203/G203</f>
        <v>0.16725156219660736</v>
      </c>
      <c r="Z203" s="50">
        <f aca="true" t="shared" si="259" ref="Z203:Z208">SUM(V203:Y203)</f>
        <v>1</v>
      </c>
    </row>
    <row r="204" spans="2:26" ht="13.5" customHeight="1">
      <c r="B204" s="23" t="s">
        <v>261</v>
      </c>
      <c r="C204" s="10">
        <v>467903.09</v>
      </c>
      <c r="D204" s="67">
        <v>503397.35</v>
      </c>
      <c r="E204" s="67">
        <v>505662.03</v>
      </c>
      <c r="F204" s="55">
        <v>294779.66</v>
      </c>
      <c r="G204" s="109">
        <f t="shared" si="244"/>
        <v>1771742.13</v>
      </c>
      <c r="H204" s="17"/>
      <c r="J204" s="96" t="s">
        <v>261</v>
      </c>
      <c r="K204" s="29">
        <f t="shared" si="250"/>
        <v>0.9717925522593104</v>
      </c>
      <c r="L204" s="30">
        <f aca="true" t="shared" si="260" ref="L204:L209">K204*L203</f>
        <v>0.9200833473395927</v>
      </c>
      <c r="M204" s="29">
        <f t="shared" si="251"/>
        <v>0.9895267458260779</v>
      </c>
      <c r="N204" s="30">
        <f aca="true" t="shared" si="261" ref="N204:N209">M204*N203</f>
        <v>2.2042317867895</v>
      </c>
      <c r="O204" s="29">
        <f t="shared" si="252"/>
        <v>0.9762471296574969</v>
      </c>
      <c r="P204" s="30">
        <f aca="true" t="shared" si="262" ref="P204:P209">O204*P203</f>
        <v>2.3654649629673776</v>
      </c>
      <c r="Q204" s="30">
        <f t="shared" si="253"/>
        <v>0.9731715270111533</v>
      </c>
      <c r="R204" s="30">
        <f aca="true" t="shared" si="263" ref="R204:R209">Q204*R203</f>
        <v>1.5826544352548855</v>
      </c>
      <c r="S204" s="29">
        <f t="shared" si="254"/>
        <v>0.978278649959638</v>
      </c>
      <c r="T204" s="30">
        <f aca="true" t="shared" si="264" ref="T204:T209">S204*T203</f>
        <v>1.8209292363004506</v>
      </c>
      <c r="V204" s="50">
        <f t="shared" si="255"/>
        <v>0.2640920944855559</v>
      </c>
      <c r="W204" s="50">
        <f t="shared" si="256"/>
        <v>0.28412563063000595</v>
      </c>
      <c r="X204" s="50">
        <f t="shared" si="257"/>
        <v>0.2854038527604466</v>
      </c>
      <c r="Y204" s="50">
        <f t="shared" si="258"/>
        <v>0.1663784221239916</v>
      </c>
      <c r="Z204" s="50">
        <f t="shared" si="259"/>
        <v>0.9999999999999999</v>
      </c>
    </row>
    <row r="205" spans="2:26" ht="13.5" customHeight="1">
      <c r="B205" s="16" t="s">
        <v>262</v>
      </c>
      <c r="C205" s="10">
        <v>495917.3</v>
      </c>
      <c r="D205" s="67">
        <v>536128.33</v>
      </c>
      <c r="E205" s="67">
        <v>537748.86</v>
      </c>
      <c r="F205" s="55">
        <v>296323.47</v>
      </c>
      <c r="G205" s="68">
        <f t="shared" si="244"/>
        <v>1866117.9599999997</v>
      </c>
      <c r="H205" s="17"/>
      <c r="J205" s="96" t="s">
        <v>262</v>
      </c>
      <c r="K205" s="29">
        <f t="shared" si="250"/>
        <v>1.05987182089351</v>
      </c>
      <c r="L205" s="30">
        <f t="shared" si="260"/>
        <v>0.97517041271861</v>
      </c>
      <c r="M205" s="29">
        <f t="shared" si="251"/>
        <v>1.0650201674681044</v>
      </c>
      <c r="N205" s="30">
        <f t="shared" si="261"/>
        <v>2.347551306705072</v>
      </c>
      <c r="O205" s="29">
        <f t="shared" si="252"/>
        <v>1.063455090745097</v>
      </c>
      <c r="P205" s="30">
        <f t="shared" si="262"/>
        <v>2.5155657568468204</v>
      </c>
      <c r="Q205" s="30">
        <f t="shared" si="253"/>
        <v>1.0052371659564299</v>
      </c>
      <c r="R205" s="30">
        <f t="shared" si="263"/>
        <v>1.590943059183995</v>
      </c>
      <c r="S205" s="29">
        <f t="shared" si="254"/>
        <v>1.0532672494501216</v>
      </c>
      <c r="T205" s="30">
        <f t="shared" si="264"/>
        <v>1.9179251281614862</v>
      </c>
      <c r="V205" s="50">
        <f t="shared" si="255"/>
        <v>0.2657480987964984</v>
      </c>
      <c r="W205" s="50">
        <f t="shared" si="256"/>
        <v>0.2872960560328137</v>
      </c>
      <c r="X205" s="50">
        <f t="shared" si="257"/>
        <v>0.28816445236934546</v>
      </c>
      <c r="Y205" s="50">
        <f t="shared" si="258"/>
        <v>0.15879139280134252</v>
      </c>
      <c r="Z205" s="50">
        <f t="shared" si="259"/>
        <v>1</v>
      </c>
    </row>
    <row r="206" spans="2:26" ht="13.5" customHeight="1">
      <c r="B206" s="16" t="s">
        <v>263</v>
      </c>
      <c r="C206" s="10">
        <v>492724.2</v>
      </c>
      <c r="D206" s="67">
        <v>518639.31</v>
      </c>
      <c r="E206" s="67">
        <v>523296.15</v>
      </c>
      <c r="F206" s="55">
        <v>293824.47</v>
      </c>
      <c r="G206" s="68">
        <f t="shared" si="244"/>
        <v>1828484.1300000001</v>
      </c>
      <c r="H206" s="17"/>
      <c r="J206" s="96" t="s">
        <v>263</v>
      </c>
      <c r="K206" s="29">
        <f t="shared" si="250"/>
        <v>0.9935612248251876</v>
      </c>
      <c r="L206" s="30">
        <f t="shared" si="260"/>
        <v>0.9688915096739859</v>
      </c>
      <c r="M206" s="29">
        <f t="shared" si="251"/>
        <v>0.9673790415067229</v>
      </c>
      <c r="N206" s="30">
        <f t="shared" si="261"/>
        <v>2.270971932968208</v>
      </c>
      <c r="O206" s="29">
        <f t="shared" si="252"/>
        <v>0.9731236808200766</v>
      </c>
      <c r="P206" s="30">
        <f t="shared" si="262"/>
        <v>2.44795660864772</v>
      </c>
      <c r="Q206" s="30">
        <f t="shared" si="253"/>
        <v>0.9915666484332138</v>
      </c>
      <c r="R206" s="30">
        <f t="shared" si="263"/>
        <v>1.577526077043158</v>
      </c>
      <c r="S206" s="29">
        <f t="shared" si="254"/>
        <v>0.9798330915801273</v>
      </c>
      <c r="T206" s="30">
        <f t="shared" si="264"/>
        <v>1.879246507745681</v>
      </c>
      <c r="V206" s="50">
        <f t="shared" si="255"/>
        <v>0.2694714118191444</v>
      </c>
      <c r="W206" s="50">
        <f t="shared" si="256"/>
        <v>0.28364441423946074</v>
      </c>
      <c r="X206" s="50">
        <f t="shared" si="257"/>
        <v>0.28619124520375244</v>
      </c>
      <c r="Y206" s="50">
        <f t="shared" si="258"/>
        <v>0.16069292873764235</v>
      </c>
      <c r="Z206" s="50">
        <f t="shared" si="259"/>
        <v>1</v>
      </c>
    </row>
    <row r="207" spans="2:26" ht="13.5" customHeight="1">
      <c r="B207" s="16" t="s">
        <v>264</v>
      </c>
      <c r="C207" s="10">
        <v>508614.36</v>
      </c>
      <c r="D207" s="67">
        <v>554625.97</v>
      </c>
      <c r="E207" s="67">
        <v>543726.08</v>
      </c>
      <c r="F207" s="55">
        <v>297859.76</v>
      </c>
      <c r="G207" s="68">
        <f t="shared" si="244"/>
        <v>1904826.1700000002</v>
      </c>
      <c r="H207" s="17"/>
      <c r="J207" s="96" t="s">
        <v>264</v>
      </c>
      <c r="K207" s="29">
        <f t="shared" si="250"/>
        <v>1.0322496033277846</v>
      </c>
      <c r="L207" s="30">
        <f t="shared" si="260"/>
        <v>1.0001378765286302</v>
      </c>
      <c r="M207" s="29">
        <f t="shared" si="251"/>
        <v>1.0693866803116023</v>
      </c>
      <c r="N207" s="30">
        <f t="shared" si="261"/>
        <v>2.4285471364776945</v>
      </c>
      <c r="O207" s="29">
        <f t="shared" si="252"/>
        <v>1.0390408566927158</v>
      </c>
      <c r="P207" s="30">
        <f t="shared" si="262"/>
        <v>2.543526931795922</v>
      </c>
      <c r="Q207" s="30">
        <f t="shared" si="253"/>
        <v>1.0137336757554605</v>
      </c>
      <c r="R207" s="30">
        <f t="shared" si="263"/>
        <v>1.5991913086810523</v>
      </c>
      <c r="S207" s="29">
        <f t="shared" si="254"/>
        <v>1.0417515464025384</v>
      </c>
      <c r="T207" s="30">
        <f t="shared" si="264"/>
        <v>1.9577079555156331</v>
      </c>
      <c r="V207" s="50">
        <f t="shared" si="255"/>
        <v>0.2670135301637524</v>
      </c>
      <c r="W207" s="50">
        <f t="shared" si="256"/>
        <v>0.2911688104327126</v>
      </c>
      <c r="X207" s="50">
        <f t="shared" si="257"/>
        <v>0.2854465612471084</v>
      </c>
      <c r="Y207" s="50">
        <f t="shared" si="258"/>
        <v>0.15637109815642652</v>
      </c>
      <c r="Z207" s="50">
        <f t="shared" si="259"/>
        <v>1</v>
      </c>
    </row>
    <row r="208" spans="2:26" ht="13.5" customHeight="1">
      <c r="B208" s="16" t="s">
        <v>265</v>
      </c>
      <c r="C208" s="10">
        <v>530738.67</v>
      </c>
      <c r="D208" s="67">
        <v>571858.21</v>
      </c>
      <c r="E208" s="67">
        <v>568279.56</v>
      </c>
      <c r="F208" s="55">
        <v>301551.8</v>
      </c>
      <c r="G208" s="68">
        <f t="shared" si="244"/>
        <v>1972428.24</v>
      </c>
      <c r="H208" s="17"/>
      <c r="J208" s="96" t="s">
        <v>265</v>
      </c>
      <c r="K208" s="29">
        <f t="shared" si="250"/>
        <v>1.0434991847261255</v>
      </c>
      <c r="L208" s="30">
        <f t="shared" si="260"/>
        <v>1.043643058771344</v>
      </c>
      <c r="M208" s="29">
        <f t="shared" si="251"/>
        <v>1.0310700200353042</v>
      </c>
      <c r="N208" s="30">
        <f t="shared" si="261"/>
        <v>2.5040021446647374</v>
      </c>
      <c r="O208" s="29">
        <f t="shared" si="252"/>
        <v>1.0451578118158322</v>
      </c>
      <c r="P208" s="30">
        <f t="shared" si="262"/>
        <v>2.6583870423304634</v>
      </c>
      <c r="Q208" s="30">
        <f t="shared" si="253"/>
        <v>1.012395229217938</v>
      </c>
      <c r="R208" s="30">
        <f t="shared" si="263"/>
        <v>1.619013651515488</v>
      </c>
      <c r="S208" s="29">
        <f t="shared" si="254"/>
        <v>1.0354898893477507</v>
      </c>
      <c r="T208" s="30">
        <f t="shared" si="264"/>
        <v>2.0271867942320942</v>
      </c>
      <c r="V208" s="50">
        <f t="shared" si="255"/>
        <v>0.26907882336951333</v>
      </c>
      <c r="W208" s="50">
        <f t="shared" si="256"/>
        <v>0.2899259899057215</v>
      </c>
      <c r="X208" s="50">
        <f t="shared" si="257"/>
        <v>0.2881116526703147</v>
      </c>
      <c r="Y208" s="50">
        <f t="shared" si="258"/>
        <v>0.15288353405445057</v>
      </c>
      <c r="Z208" s="50">
        <f t="shared" si="259"/>
        <v>1</v>
      </c>
    </row>
    <row r="209" spans="2:26" ht="13.5" customHeight="1">
      <c r="B209" s="16" t="s">
        <v>266</v>
      </c>
      <c r="C209" s="10">
        <v>559005.34</v>
      </c>
      <c r="D209" s="67">
        <v>586722.67</v>
      </c>
      <c r="E209" s="67">
        <v>591791.05</v>
      </c>
      <c r="F209" s="55">
        <v>300462.96</v>
      </c>
      <c r="G209" s="68">
        <f t="shared" si="244"/>
        <v>2037982.02</v>
      </c>
      <c r="H209" s="17"/>
      <c r="J209" s="96" t="s">
        <v>266</v>
      </c>
      <c r="K209" s="29">
        <f aca="true" t="shared" si="265" ref="K209:K214">C209/C208</f>
        <v>1.0532591114945513</v>
      </c>
      <c r="L209" s="30">
        <f t="shared" si="260"/>
        <v>1.0992265607989615</v>
      </c>
      <c r="M209" s="29">
        <f aca="true" t="shared" si="266" ref="M209:M214">D209/D208</f>
        <v>1.0259932615114506</v>
      </c>
      <c r="N209" s="30">
        <f t="shared" si="261"/>
        <v>2.569089327236241</v>
      </c>
      <c r="O209" s="29">
        <f aca="true" t="shared" si="267" ref="O209:O214">E209/E208</f>
        <v>1.0413731051667598</v>
      </c>
      <c r="P209" s="30">
        <f t="shared" si="262"/>
        <v>2.768372769006753</v>
      </c>
      <c r="Q209" s="30">
        <f aca="true" t="shared" si="268" ref="Q209:Q214">F209/F208</f>
        <v>0.9963892107425657</v>
      </c>
      <c r="R209" s="30">
        <f t="shared" si="263"/>
        <v>1.6131677344149564</v>
      </c>
      <c r="S209" s="29">
        <f aca="true" t="shared" si="269" ref="S209:S214">G209/G208</f>
        <v>1.0332350646125408</v>
      </c>
      <c r="T209" s="30">
        <f t="shared" si="264"/>
        <v>2.0945604783200875</v>
      </c>
      <c r="V209" s="50">
        <f aca="true" t="shared" si="270" ref="V209:V214">C209/G209</f>
        <v>0.27429355829154956</v>
      </c>
      <c r="W209" s="50">
        <f aca="true" t="shared" si="271" ref="W209:W214">D209/G209</f>
        <v>0.28789393833808213</v>
      </c>
      <c r="X209" s="50">
        <f aca="true" t="shared" si="272" ref="X209:X214">E209/G209</f>
        <v>0.2903808984536576</v>
      </c>
      <c r="Y209" s="50">
        <f aca="true" t="shared" si="273" ref="Y209:Y214">F209/G209</f>
        <v>0.1474316049167107</v>
      </c>
      <c r="Z209" s="50">
        <f aca="true" t="shared" si="274" ref="Z209:Z214">SUM(V209:Y209)</f>
        <v>0.9999999999999999</v>
      </c>
    </row>
    <row r="210" spans="2:26" ht="13.5" customHeight="1">
      <c r="B210" s="16" t="s">
        <v>267</v>
      </c>
      <c r="C210" s="10">
        <v>566467.46</v>
      </c>
      <c r="D210" s="67">
        <v>599108.16</v>
      </c>
      <c r="E210" s="67">
        <v>603379.71</v>
      </c>
      <c r="F210" s="55">
        <v>299950.08</v>
      </c>
      <c r="G210" s="68">
        <f t="shared" si="244"/>
        <v>2068905.4100000001</v>
      </c>
      <c r="H210" s="17"/>
      <c r="J210" s="96" t="s">
        <v>267</v>
      </c>
      <c r="K210" s="29">
        <f t="shared" si="265"/>
        <v>1.0133489243591125</v>
      </c>
      <c r="L210" s="30">
        <f>K210*L209</f>
        <v>1.1139000530125942</v>
      </c>
      <c r="M210" s="29">
        <f t="shared" si="266"/>
        <v>1.0211096155531199</v>
      </c>
      <c r="N210" s="30">
        <f>M210*N209</f>
        <v>2.6233218152558218</v>
      </c>
      <c r="O210" s="29">
        <f t="shared" si="267"/>
        <v>1.0195823508990207</v>
      </c>
      <c r="P210" s="30">
        <f>O210*P209</f>
        <v>2.822584015988737</v>
      </c>
      <c r="Q210" s="30">
        <f t="shared" si="268"/>
        <v>0.9982930341896386</v>
      </c>
      <c r="R210" s="30">
        <f>Q210*R209</f>
        <v>1.610414112245932</v>
      </c>
      <c r="S210" s="29">
        <f t="shared" si="269"/>
        <v>1.0151735342591492</v>
      </c>
      <c r="T210" s="30">
        <f>S210*T209</f>
        <v>2.1263423634957372</v>
      </c>
      <c r="V210" s="50">
        <f t="shared" si="270"/>
        <v>0.2738005600749045</v>
      </c>
      <c r="W210" s="50">
        <f t="shared" si="271"/>
        <v>0.2895773567531055</v>
      </c>
      <c r="X210" s="50">
        <f t="shared" si="272"/>
        <v>0.29164199923475476</v>
      </c>
      <c r="Y210" s="50">
        <f t="shared" si="273"/>
        <v>0.1449800839372352</v>
      </c>
      <c r="Z210" s="50">
        <f t="shared" si="274"/>
        <v>0.9999999999999999</v>
      </c>
    </row>
    <row r="211" spans="2:26" ht="13.5" customHeight="1">
      <c r="B211" s="23" t="s">
        <v>268</v>
      </c>
      <c r="C211" s="10">
        <v>560003.34</v>
      </c>
      <c r="D211" s="67">
        <v>571833.15</v>
      </c>
      <c r="E211" s="67">
        <v>575581.35</v>
      </c>
      <c r="F211" s="55">
        <v>302225.2</v>
      </c>
      <c r="G211" s="68">
        <f t="shared" si="244"/>
        <v>2009643.0399999998</v>
      </c>
      <c r="H211" s="17"/>
      <c r="J211" s="96" t="s">
        <v>269</v>
      </c>
      <c r="K211" s="29">
        <f t="shared" si="265"/>
        <v>0.9885887178762219</v>
      </c>
      <c r="L211" s="30">
        <f>K211*L210</f>
        <v>1.101189025249976</v>
      </c>
      <c r="M211" s="29">
        <f t="shared" si="266"/>
        <v>0.9544739801240564</v>
      </c>
      <c r="N211" s="30">
        <f>M211*N210</f>
        <v>2.503892414153489</v>
      </c>
      <c r="O211" s="29">
        <f t="shared" si="267"/>
        <v>0.9539289115306844</v>
      </c>
      <c r="P211" s="30">
        <f>O211*P210</f>
        <v>2.692544498076044</v>
      </c>
      <c r="Q211" s="30">
        <f t="shared" si="268"/>
        <v>1.0075849954765805</v>
      </c>
      <c r="R211" s="30">
        <f>Q211*R210</f>
        <v>1.6226290960027387</v>
      </c>
      <c r="S211" s="29">
        <f t="shared" si="269"/>
        <v>0.9713556889969173</v>
      </c>
      <c r="T211" s="30">
        <f>S211*T210</f>
        <v>2.0654347515367353</v>
      </c>
      <c r="V211" s="50">
        <f t="shared" si="270"/>
        <v>0.2786581143286024</v>
      </c>
      <c r="W211" s="50">
        <f t="shared" si="271"/>
        <v>0.28454463734017166</v>
      </c>
      <c r="X211" s="50">
        <f t="shared" si="272"/>
        <v>0.28640974468779296</v>
      </c>
      <c r="Y211" s="50">
        <f t="shared" si="273"/>
        <v>0.15038750364343315</v>
      </c>
      <c r="Z211" s="50">
        <f t="shared" si="274"/>
        <v>1.0000000000000002</v>
      </c>
    </row>
    <row r="212" spans="2:26" ht="13.5" customHeight="1">
      <c r="B212" s="23" t="s">
        <v>270</v>
      </c>
      <c r="C212" s="10">
        <f>67.93+595222.64</f>
        <v>595290.5700000001</v>
      </c>
      <c r="D212" s="67">
        <f>2.13+596780.59</f>
        <v>596782.72</v>
      </c>
      <c r="E212" s="67">
        <f>596963.55+183.09+46.9</f>
        <v>597193.54</v>
      </c>
      <c r="F212" s="55">
        <v>304633.04</v>
      </c>
      <c r="G212" s="68">
        <f t="shared" si="244"/>
        <v>2093899.87</v>
      </c>
      <c r="H212" s="17"/>
      <c r="J212" s="96" t="s">
        <v>270</v>
      </c>
      <c r="K212" s="29">
        <f t="shared" si="265"/>
        <v>1.0630125348895243</v>
      </c>
      <c r="L212" s="30">
        <f>K212*L211</f>
        <v>1.1705777371235015</v>
      </c>
      <c r="M212" s="29">
        <f t="shared" si="266"/>
        <v>1.0436308563083478</v>
      </c>
      <c r="N212" s="30">
        <f>M212*N211</f>
        <v>2.613139384286982</v>
      </c>
      <c r="O212" s="29">
        <f t="shared" si="267"/>
        <v>1.0375484542714946</v>
      </c>
      <c r="P212" s="30">
        <f>O212*P211</f>
        <v>2.7936453820360163</v>
      </c>
      <c r="Q212" s="30">
        <f t="shared" si="268"/>
        <v>1.0079670391482907</v>
      </c>
      <c r="R212" s="30">
        <f>Q212*R211</f>
        <v>1.635556645533748</v>
      </c>
      <c r="S212" s="29">
        <f t="shared" si="269"/>
        <v>1.041926266666741</v>
      </c>
      <c r="T212" s="30">
        <f>S212*T211</f>
        <v>2.1520307197124184</v>
      </c>
      <c r="V212" s="50">
        <f t="shared" si="270"/>
        <v>0.2842975342464681</v>
      </c>
      <c r="W212" s="50">
        <f t="shared" si="271"/>
        <v>0.28501015189422596</v>
      </c>
      <c r="X212" s="50">
        <f t="shared" si="272"/>
        <v>0.2852063503877098</v>
      </c>
      <c r="Y212" s="50">
        <f t="shared" si="273"/>
        <v>0.14548596347159617</v>
      </c>
      <c r="Z212" s="50">
        <f t="shared" si="274"/>
        <v>1</v>
      </c>
    </row>
    <row r="213" spans="2:26" ht="13.5" customHeight="1">
      <c r="B213" s="23" t="s">
        <v>271</v>
      </c>
      <c r="C213" s="10">
        <v>591534.12</v>
      </c>
      <c r="D213" s="67">
        <v>605949.02</v>
      </c>
      <c r="E213" s="67">
        <v>601676.18</v>
      </c>
      <c r="F213" s="55">
        <v>303339.2</v>
      </c>
      <c r="G213" s="68">
        <f t="shared" si="244"/>
        <v>2102498.5200000005</v>
      </c>
      <c r="H213" s="17"/>
      <c r="J213" s="96" t="s">
        <v>271</v>
      </c>
      <c r="K213" s="29">
        <f t="shared" si="265"/>
        <v>0.9936897202991136</v>
      </c>
      <c r="L213" s="30">
        <f>K213*L212</f>
        <v>1.1631910641906216</v>
      </c>
      <c r="M213" s="29">
        <f t="shared" si="266"/>
        <v>1.0153595264956734</v>
      </c>
      <c r="N213" s="30">
        <f>M213*N212</f>
        <v>2.6532759678968256</v>
      </c>
      <c r="O213" s="29">
        <f t="shared" si="267"/>
        <v>1.0075061763059259</v>
      </c>
      <c r="P213" s="30">
        <f>O213*P212</f>
        <v>2.814614976809814</v>
      </c>
      <c r="Q213" s="30">
        <f t="shared" si="268"/>
        <v>0.9957527916210271</v>
      </c>
      <c r="R213" s="30">
        <f>Q213*R212</f>
        <v>1.6286100956445524</v>
      </c>
      <c r="S213" s="29">
        <f t="shared" si="269"/>
        <v>1.0041065239666882</v>
      </c>
      <c r="T213" s="30">
        <f>S213*T212</f>
        <v>2.160868085439967</v>
      </c>
      <c r="V213" s="50">
        <f t="shared" si="270"/>
        <v>0.2813481742664912</v>
      </c>
      <c r="W213" s="50">
        <f t="shared" si="271"/>
        <v>0.28820425519253157</v>
      </c>
      <c r="X213" s="50">
        <f t="shared" si="272"/>
        <v>0.28617198741238586</v>
      </c>
      <c r="Y213" s="50">
        <f t="shared" si="273"/>
        <v>0.14427558312859118</v>
      </c>
      <c r="Z213" s="50">
        <f t="shared" si="274"/>
        <v>0.9999999999999998</v>
      </c>
    </row>
    <row r="214" spans="2:26" ht="13.5" customHeight="1">
      <c r="B214" s="23" t="s">
        <v>272</v>
      </c>
      <c r="C214" s="10">
        <v>582509.61</v>
      </c>
      <c r="D214" s="67">
        <v>580705.52</v>
      </c>
      <c r="E214" s="67">
        <v>605205.86</v>
      </c>
      <c r="F214" s="55">
        <v>304762.76</v>
      </c>
      <c r="G214" s="68">
        <f t="shared" si="244"/>
        <v>2073183.7499999998</v>
      </c>
      <c r="H214" s="17"/>
      <c r="J214" s="96" t="s">
        <v>272</v>
      </c>
      <c r="K214" s="29">
        <f t="shared" si="265"/>
        <v>0.9847438893296637</v>
      </c>
      <c r="L214" s="30">
        <f>K214*L213</f>
        <v>1.1454452925845833</v>
      </c>
      <c r="M214" s="29">
        <f t="shared" si="266"/>
        <v>0.9583405547879259</v>
      </c>
      <c r="N214" s="30">
        <f>M214*N213</f>
        <v>2.542741963079715</v>
      </c>
      <c r="O214" s="29">
        <f t="shared" si="267"/>
        <v>1.0058664113975726</v>
      </c>
      <c r="P214" s="30">
        <f>O214*P213</f>
        <v>2.8311266661895496</v>
      </c>
      <c r="Q214" s="30">
        <f t="shared" si="268"/>
        <v>1.0046929641800335</v>
      </c>
      <c r="R214" s="30">
        <f>Q214*R213</f>
        <v>1.6362531044866533</v>
      </c>
      <c r="S214" s="29">
        <f t="shared" si="269"/>
        <v>0.9860571744897111</v>
      </c>
      <c r="T214" s="30">
        <f>S214*T213</f>
        <v>2.1307394787739256</v>
      </c>
      <c r="V214" s="50">
        <f t="shared" si="270"/>
        <v>0.28097345929901296</v>
      </c>
      <c r="W214" s="50">
        <f t="shared" si="271"/>
        <v>0.2801032566457267</v>
      </c>
      <c r="X214" s="50">
        <f t="shared" si="272"/>
        <v>0.2919209934961144</v>
      </c>
      <c r="Y214" s="50">
        <f t="shared" si="273"/>
        <v>0.14700229055914607</v>
      </c>
      <c r="Z214" s="50">
        <f t="shared" si="274"/>
        <v>1.0000000000000002</v>
      </c>
    </row>
    <row r="215" spans="2:26" ht="13.5" customHeight="1">
      <c r="B215" s="24" t="s">
        <v>273</v>
      </c>
      <c r="C215" s="25">
        <v>-29600</v>
      </c>
      <c r="D215" s="25">
        <v>-30300</v>
      </c>
      <c r="E215" s="25">
        <v>-30100</v>
      </c>
      <c r="F215" s="25">
        <v>-15200</v>
      </c>
      <c r="G215" s="25">
        <f t="shared" si="244"/>
        <v>-105200</v>
      </c>
      <c r="H215" s="17"/>
      <c r="J215" s="96" t="s">
        <v>273</v>
      </c>
      <c r="K215" s="29"/>
      <c r="L215" s="30"/>
      <c r="M215" s="29"/>
      <c r="N215" s="30"/>
      <c r="O215" s="29"/>
      <c r="P215" s="30"/>
      <c r="Q215" s="30"/>
      <c r="R215" s="30"/>
      <c r="S215" s="29"/>
      <c r="T215" s="30"/>
      <c r="V215" s="50"/>
      <c r="W215" s="50"/>
      <c r="X215" s="50"/>
      <c r="Y215" s="50"/>
      <c r="Z215" s="50"/>
    </row>
    <row r="216" spans="2:26" ht="13.5" customHeight="1">
      <c r="B216" s="24" t="s">
        <v>274</v>
      </c>
      <c r="C216" s="25">
        <f>C214+C215</f>
        <v>552909.61</v>
      </c>
      <c r="D216" s="25">
        <f>D214+D215</f>
        <v>550405.52</v>
      </c>
      <c r="E216" s="25">
        <f>E214+E215</f>
        <v>575105.86</v>
      </c>
      <c r="F216" s="25">
        <f>F214+F215</f>
        <v>289562.76</v>
      </c>
      <c r="G216" s="82">
        <f>SUM(C216:F216)</f>
        <v>1967983.7499999998</v>
      </c>
      <c r="H216" s="17"/>
      <c r="J216" s="96" t="s">
        <v>274</v>
      </c>
      <c r="K216" s="29"/>
      <c r="L216" s="30"/>
      <c r="M216" s="29"/>
      <c r="N216" s="30"/>
      <c r="O216" s="29"/>
      <c r="P216" s="30"/>
      <c r="Q216" s="30"/>
      <c r="R216" s="30"/>
      <c r="S216" s="29"/>
      <c r="T216" s="30"/>
      <c r="V216" s="50"/>
      <c r="W216" s="50"/>
      <c r="X216" s="50"/>
      <c r="Y216" s="50"/>
      <c r="Z216" s="50"/>
    </row>
    <row r="217" spans="2:26" ht="13.5" customHeight="1">
      <c r="B217" s="23" t="s">
        <v>275</v>
      </c>
      <c r="C217" s="10">
        <v>559477.4</v>
      </c>
      <c r="D217" s="67">
        <v>559805.96</v>
      </c>
      <c r="E217" s="67">
        <v>586710.4</v>
      </c>
      <c r="F217" s="55">
        <v>292562.33</v>
      </c>
      <c r="G217" s="68">
        <f t="shared" si="244"/>
        <v>1998556.0899999999</v>
      </c>
      <c r="H217" s="17"/>
      <c r="J217" s="96" t="s">
        <v>275</v>
      </c>
      <c r="K217" s="29">
        <f>C217/C216</f>
        <v>1.0118785962139454</v>
      </c>
      <c r="L217" s="30">
        <f>K217*L214</f>
        <v>1.15905157470036</v>
      </c>
      <c r="M217" s="29">
        <f>D217/D216</f>
        <v>1.0170791165030466</v>
      </c>
      <c r="N217" s="30">
        <f>M217*N214</f>
        <v>2.586169749304339</v>
      </c>
      <c r="O217" s="29">
        <f>E217/E216</f>
        <v>1.020178093820849</v>
      </c>
      <c r="P217" s="30">
        <f>O217*P214</f>
        <v>2.8882534056786295</v>
      </c>
      <c r="Q217" s="30">
        <f>F217/F216</f>
        <v>1.0103589632865773</v>
      </c>
      <c r="R217" s="30">
        <f>Q217*R214</f>
        <v>1.6532029903235785</v>
      </c>
      <c r="S217" s="29">
        <f>G217/G216</f>
        <v>1.0155348538828128</v>
      </c>
      <c r="T217" s="30">
        <f>S217*T214</f>
        <v>2.163840205239019</v>
      </c>
      <c r="V217" s="50">
        <f>C217/G217</f>
        <v>0.27994080466363097</v>
      </c>
      <c r="W217" s="50">
        <f>D217/G217</f>
        <v>0.28010520335208605</v>
      </c>
      <c r="X217" s="50">
        <f>E217/G217</f>
        <v>0.29356714226619485</v>
      </c>
      <c r="Y217" s="50">
        <f>F217/G217</f>
        <v>0.14638684971808824</v>
      </c>
      <c r="Z217" s="50">
        <f>SUM(V217:Y217)</f>
        <v>1</v>
      </c>
    </row>
    <row r="218" spans="2:26" ht="13.5" customHeight="1">
      <c r="B218" s="24" t="s">
        <v>276</v>
      </c>
      <c r="C218" s="25">
        <v>-28100</v>
      </c>
      <c r="D218" s="25">
        <v>-25600</v>
      </c>
      <c r="E218" s="25">
        <v>-50300</v>
      </c>
      <c r="F218" s="25">
        <v>104000</v>
      </c>
      <c r="G218" s="82">
        <f>SUM(C218:F218)</f>
        <v>0</v>
      </c>
      <c r="H218" s="17"/>
      <c r="J218" s="96" t="s">
        <v>276</v>
      </c>
      <c r="K218" s="88" t="s">
        <v>278</v>
      </c>
      <c r="L218" s="85"/>
      <c r="M218" s="86"/>
      <c r="N218" s="85"/>
      <c r="O218" s="86"/>
      <c r="P218" s="85"/>
      <c r="Q218" s="86"/>
      <c r="R218" s="85"/>
      <c r="S218" s="86"/>
      <c r="T218" s="87"/>
      <c r="V218" s="88" t="s">
        <v>279</v>
      </c>
      <c r="W218" s="89"/>
      <c r="X218" s="89"/>
      <c r="Y218" s="89"/>
      <c r="Z218" s="90"/>
    </row>
    <row r="219" spans="2:26" ht="13.5" customHeight="1">
      <c r="B219" s="24" t="s">
        <v>277</v>
      </c>
      <c r="C219" s="25">
        <f>C217+C218</f>
        <v>531377.4</v>
      </c>
      <c r="D219" s="25">
        <f>D217+D218</f>
        <v>534205.96</v>
      </c>
      <c r="E219" s="25">
        <f>E217+E218</f>
        <v>536410.4</v>
      </c>
      <c r="F219" s="25">
        <f>F217+F218</f>
        <v>396562.33</v>
      </c>
      <c r="G219" s="82">
        <f>SUM(C219:F219)</f>
        <v>1998556.0899999999</v>
      </c>
      <c r="H219" s="17"/>
      <c r="J219" s="96" t="s">
        <v>277</v>
      </c>
      <c r="K219" s="29"/>
      <c r="L219" s="30"/>
      <c r="M219" s="29"/>
      <c r="N219" s="30"/>
      <c r="O219" s="29"/>
      <c r="P219" s="30"/>
      <c r="Q219" s="30"/>
      <c r="R219" s="30"/>
      <c r="S219" s="29"/>
      <c r="T219" s="30"/>
      <c r="V219" s="50">
        <f>C219/G219</f>
        <v>0.2658806538674629</v>
      </c>
      <c r="W219" s="50">
        <f>D219/G219</f>
        <v>0.2672959556516625</v>
      </c>
      <c r="X219" s="50">
        <f>E219/G219</f>
        <v>0.2683989719798157</v>
      </c>
      <c r="Y219" s="50">
        <f>F219/G219</f>
        <v>0.19842441850105896</v>
      </c>
      <c r="Z219" s="50">
        <f>SUM(V219:Y219)</f>
        <v>1</v>
      </c>
    </row>
    <row r="220" spans="2:26" ht="13.5" customHeight="1">
      <c r="B220" s="23" t="s">
        <v>282</v>
      </c>
      <c r="C220" s="10">
        <v>550379.88</v>
      </c>
      <c r="D220" s="67">
        <v>559695.34</v>
      </c>
      <c r="E220" s="67">
        <v>553674.99</v>
      </c>
      <c r="F220" s="55">
        <v>398180.04</v>
      </c>
      <c r="G220" s="68">
        <f>SUM(C220:F220)</f>
        <v>2061930.25</v>
      </c>
      <c r="H220" s="17"/>
      <c r="J220" s="96" t="s">
        <v>282</v>
      </c>
      <c r="K220" s="29">
        <f aca="true" t="shared" si="275" ref="K220:K234">C220/C219</f>
        <v>1.0357607982575097</v>
      </c>
      <c r="L220" s="30">
        <f>K220*L217</f>
        <v>1.2005001842332685</v>
      </c>
      <c r="M220" s="29">
        <f aca="true" t="shared" si="276" ref="M220:M230">D220/D219</f>
        <v>1.047714518198187</v>
      </c>
      <c r="N220" s="30">
        <f>M220*N217</f>
        <v>2.709567592871122</v>
      </c>
      <c r="O220" s="29">
        <f aca="true" t="shared" si="277" ref="O220:O230">E220/E219</f>
        <v>1.032185412512509</v>
      </c>
      <c r="P220" s="30">
        <f>O220*P217</f>
        <v>2.981213032981055</v>
      </c>
      <c r="Q220" s="30">
        <f aca="true" t="shared" si="278" ref="Q220:Q230">F220/F219</f>
        <v>1.004079333506034</v>
      </c>
      <c r="R220" s="30">
        <f>Q220*R217</f>
        <v>1.6599469566742813</v>
      </c>
      <c r="S220" s="29">
        <f aca="true" t="shared" si="279" ref="S220:S230">G220/G219</f>
        <v>1.0317099731736827</v>
      </c>
      <c r="T220" s="30">
        <f>S220*T217</f>
        <v>2.2324555200992844</v>
      </c>
      <c r="V220" s="50">
        <f>C220/G220</f>
        <v>0.2669245868040396</v>
      </c>
      <c r="W220" s="50">
        <f>D220/G220</f>
        <v>0.2714424214883117</v>
      </c>
      <c r="X220" s="50">
        <f>E220/G220</f>
        <v>0.26852265734983033</v>
      </c>
      <c r="Y220" s="50">
        <f>F220/G220</f>
        <v>0.19311033435781835</v>
      </c>
      <c r="Z220" s="50">
        <f>SUM(V220:Y220)</f>
        <v>0.9999999999999999</v>
      </c>
    </row>
    <row r="221" spans="2:26" ht="13.5" customHeight="1">
      <c r="B221" s="23" t="s">
        <v>280</v>
      </c>
      <c r="C221" s="10">
        <v>534874.36</v>
      </c>
      <c r="D221" s="67">
        <v>525816.19</v>
      </c>
      <c r="E221" s="67">
        <v>539019.18</v>
      </c>
      <c r="F221" s="55">
        <v>396855.34</v>
      </c>
      <c r="G221" s="68">
        <f>SUM(C221:F221)</f>
        <v>1996565.07</v>
      </c>
      <c r="H221" s="17"/>
      <c r="J221" s="96" t="s">
        <v>280</v>
      </c>
      <c r="K221" s="29">
        <f t="shared" si="275"/>
        <v>0.971827603872438</v>
      </c>
      <c r="L221" s="30">
        <f aca="true" t="shared" si="280" ref="L221:L230">K221*L220</f>
        <v>1.166679217491838</v>
      </c>
      <c r="M221" s="29">
        <f t="shared" si="276"/>
        <v>0.9394685866064205</v>
      </c>
      <c r="N221" s="30">
        <f aca="true" t="shared" si="281" ref="N221:N228">M221*N220</f>
        <v>2.5455536367891938</v>
      </c>
      <c r="O221" s="29">
        <f t="shared" si="277"/>
        <v>0.9735299403716973</v>
      </c>
      <c r="P221" s="30">
        <f aca="true" t="shared" si="282" ref="P221:P228">O221*P220</f>
        <v>2.9023001462333733</v>
      </c>
      <c r="Q221" s="30">
        <f t="shared" si="278"/>
        <v>0.9966731129968244</v>
      </c>
      <c r="R221" s="30">
        <f aca="true" t="shared" si="283" ref="R221:R228">Q221*R220</f>
        <v>1.6544245007181606</v>
      </c>
      <c r="S221" s="29">
        <f t="shared" si="279"/>
        <v>0.9682990343635534</v>
      </c>
      <c r="T221" s="30">
        <f aca="true" t="shared" si="284" ref="T221:T228">S221*T220</f>
        <v>2.1616845243717213</v>
      </c>
      <c r="V221" s="50">
        <f>C221/G221</f>
        <v>0.2678972842092244</v>
      </c>
      <c r="W221" s="50">
        <f>D221/G221</f>
        <v>0.26336040728189236</v>
      </c>
      <c r="X221" s="50">
        <f>E221/G221</f>
        <v>0.2699732596243407</v>
      </c>
      <c r="Y221" s="50">
        <f>F221/G221</f>
        <v>0.1987690488845425</v>
      </c>
      <c r="Z221" s="50">
        <f>SUM(V221:Y221)</f>
        <v>0.9999999999999999</v>
      </c>
    </row>
    <row r="222" spans="2:26" ht="13.5" customHeight="1">
      <c r="B222" s="110" t="s">
        <v>281</v>
      </c>
      <c r="C222" s="10">
        <v>565764</v>
      </c>
      <c r="D222" s="67">
        <v>535517.95</v>
      </c>
      <c r="E222" s="67">
        <v>558067.54</v>
      </c>
      <c r="F222" s="55">
        <v>401174.21</v>
      </c>
      <c r="G222" s="68">
        <v>2060523.7</v>
      </c>
      <c r="H222" s="17"/>
      <c r="J222" s="96" t="s">
        <v>281</v>
      </c>
      <c r="K222" s="29">
        <f t="shared" si="275"/>
        <v>1.057751207218084</v>
      </c>
      <c r="L222" s="30">
        <f t="shared" si="280"/>
        <v>1.234056350738241</v>
      </c>
      <c r="M222" s="29">
        <f t="shared" si="276"/>
        <v>1.0184508582742575</v>
      </c>
      <c r="N222" s="30">
        <f t="shared" si="281"/>
        <v>2.5925212861711118</v>
      </c>
      <c r="O222" s="29">
        <f t="shared" si="277"/>
        <v>1.0353389280136562</v>
      </c>
      <c r="P222" s="30">
        <f t="shared" si="282"/>
        <v>3.0048643221751385</v>
      </c>
      <c r="Q222" s="30">
        <f t="shared" si="278"/>
        <v>1.0108827312239266</v>
      </c>
      <c r="R222" s="30">
        <f t="shared" si="283"/>
        <v>1.6724291578897552</v>
      </c>
      <c r="S222" s="29">
        <f t="shared" si="279"/>
        <v>1.0320343328454604</v>
      </c>
      <c r="T222" s="30">
        <f t="shared" si="284"/>
        <v>2.230932645932326</v>
      </c>
      <c r="V222" s="50"/>
      <c r="W222" s="50"/>
      <c r="X222" s="50"/>
      <c r="Y222" s="50"/>
      <c r="Z222" s="50"/>
    </row>
    <row r="223" spans="2:26" ht="13.5" customHeight="1">
      <c r="B223" s="110" t="s">
        <v>283</v>
      </c>
      <c r="C223" s="10">
        <v>546805.51</v>
      </c>
      <c r="D223" s="67">
        <v>507792.59</v>
      </c>
      <c r="E223" s="67">
        <v>541749.26</v>
      </c>
      <c r="F223" s="55">
        <v>398027.31</v>
      </c>
      <c r="G223" s="68">
        <f aca="true" t="shared" si="285" ref="G223:G230">SUM(C223:F223)</f>
        <v>1994374.6700000002</v>
      </c>
      <c r="H223" s="17"/>
      <c r="J223" s="96" t="s">
        <v>283</v>
      </c>
      <c r="K223" s="29">
        <f t="shared" si="275"/>
        <v>0.9664904624543096</v>
      </c>
      <c r="L223" s="30">
        <f t="shared" si="280"/>
        <v>1.1927036931196802</v>
      </c>
      <c r="M223" s="29">
        <f t="shared" si="276"/>
        <v>0.9482270202147287</v>
      </c>
      <c r="N223" s="30">
        <f t="shared" si="281"/>
        <v>2.4582987340292894</v>
      </c>
      <c r="O223" s="29">
        <f t="shared" si="277"/>
        <v>0.9707593098856815</v>
      </c>
      <c r="P223" s="30">
        <f t="shared" si="282"/>
        <v>2.9170000156948435</v>
      </c>
      <c r="Q223" s="30">
        <f t="shared" si="278"/>
        <v>0.9921557769129775</v>
      </c>
      <c r="R223" s="30">
        <f t="shared" si="283"/>
        <v>1.6593102504780268</v>
      </c>
      <c r="S223" s="29">
        <f t="shared" si="279"/>
        <v>0.9678969817236269</v>
      </c>
      <c r="T223" s="30">
        <f t="shared" si="284"/>
        <v>2.1593129744266033</v>
      </c>
      <c r="V223" s="50"/>
      <c r="W223" s="50"/>
      <c r="X223" s="50"/>
      <c r="Y223" s="50"/>
      <c r="Z223" s="50"/>
    </row>
    <row r="224" spans="2:26" ht="13.5" customHeight="1">
      <c r="B224" s="110" t="s">
        <v>284</v>
      </c>
      <c r="C224" s="10">
        <v>545392.83</v>
      </c>
      <c r="D224" s="67">
        <v>542268.35</v>
      </c>
      <c r="E224" s="67">
        <v>552514.07</v>
      </c>
      <c r="F224" s="55">
        <v>400723.4</v>
      </c>
      <c r="G224" s="68">
        <f t="shared" si="285"/>
        <v>2040898.65</v>
      </c>
      <c r="H224" s="17"/>
      <c r="J224" s="96" t="s">
        <v>284</v>
      </c>
      <c r="K224" s="29">
        <f t="shared" si="275"/>
        <v>0.997416485433733</v>
      </c>
      <c r="L224" s="30">
        <f t="shared" si="280"/>
        <v>1.189622325755265</v>
      </c>
      <c r="M224" s="29">
        <f t="shared" si="276"/>
        <v>1.0678933893068427</v>
      </c>
      <c r="N224" s="30">
        <f t="shared" si="281"/>
        <v>2.6252009670112586</v>
      </c>
      <c r="O224" s="29">
        <f t="shared" si="277"/>
        <v>1.0198704655360304</v>
      </c>
      <c r="P224" s="30">
        <f t="shared" si="282"/>
        <v>2.974962163975308</v>
      </c>
      <c r="Q224" s="30">
        <f t="shared" si="278"/>
        <v>1.006773630683784</v>
      </c>
      <c r="R224" s="30">
        <f t="shared" si="283"/>
        <v>1.6705498053045822</v>
      </c>
      <c r="S224" s="29">
        <f t="shared" si="279"/>
        <v>1.0233276027317373</v>
      </c>
      <c r="T224" s="30">
        <f t="shared" si="284"/>
        <v>2.209684569667513</v>
      </c>
      <c r="V224" s="50"/>
      <c r="W224" s="50"/>
      <c r="X224" s="50"/>
      <c r="Y224" s="50"/>
      <c r="Z224" s="50"/>
    </row>
    <row r="225" spans="2:26" ht="13.5" customHeight="1">
      <c r="B225" s="110" t="s">
        <v>285</v>
      </c>
      <c r="C225" s="10">
        <v>544159.46</v>
      </c>
      <c r="D225" s="67">
        <v>535890.27</v>
      </c>
      <c r="E225" s="67">
        <v>568505.34</v>
      </c>
      <c r="F225" s="55">
        <v>403015.68</v>
      </c>
      <c r="G225" s="68">
        <f t="shared" si="285"/>
        <v>2051570.7499999998</v>
      </c>
      <c r="H225" s="17"/>
      <c r="J225" s="96" t="s">
        <v>285</v>
      </c>
      <c r="K225" s="29">
        <f t="shared" si="275"/>
        <v>0.9977385657966937</v>
      </c>
      <c r="L225" s="30">
        <f t="shared" si="280"/>
        <v>1.1869320731387851</v>
      </c>
      <c r="M225" s="29">
        <f t="shared" si="276"/>
        <v>0.9882381481419671</v>
      </c>
      <c r="N225" s="30">
        <f t="shared" si="281"/>
        <v>2.5943237421397076</v>
      </c>
      <c r="O225" s="29">
        <f t="shared" si="277"/>
        <v>1.0289427380555214</v>
      </c>
      <c r="P225" s="30">
        <f t="shared" si="282"/>
        <v>3.0610657146123326</v>
      </c>
      <c r="Q225" s="30">
        <f t="shared" si="278"/>
        <v>1.0057203547384554</v>
      </c>
      <c r="R225" s="30">
        <f t="shared" si="283"/>
        <v>1.680105942799182</v>
      </c>
      <c r="S225" s="29">
        <f t="shared" si="279"/>
        <v>1.0052291180652209</v>
      </c>
      <c r="T225" s="30">
        <f t="shared" si="284"/>
        <v>2.221239271169201</v>
      </c>
      <c r="V225" s="50"/>
      <c r="W225" s="50"/>
      <c r="X225" s="50"/>
      <c r="Y225" s="50"/>
      <c r="Z225" s="50"/>
    </row>
    <row r="226" spans="2:26" ht="13.5" customHeight="1">
      <c r="B226" s="110" t="s">
        <v>286</v>
      </c>
      <c r="C226" s="10">
        <v>531789.51</v>
      </c>
      <c r="D226" s="67">
        <v>546816.1</v>
      </c>
      <c r="E226" s="67">
        <v>573316.16</v>
      </c>
      <c r="F226" s="55">
        <v>402000.87</v>
      </c>
      <c r="G226" s="68">
        <f t="shared" si="285"/>
        <v>2053922.6400000001</v>
      </c>
      <c r="H226" s="17"/>
      <c r="J226" s="96" t="s">
        <v>286</v>
      </c>
      <c r="K226" s="29">
        <f t="shared" si="275"/>
        <v>0.9772677847041381</v>
      </c>
      <c r="L226" s="30">
        <f t="shared" si="280"/>
        <v>1.1599504777106306</v>
      </c>
      <c r="M226" s="29">
        <f t="shared" si="276"/>
        <v>1.0203881850663195</v>
      </c>
      <c r="N226" s="30">
        <f t="shared" si="281"/>
        <v>2.6472172947163983</v>
      </c>
      <c r="O226" s="29">
        <f t="shared" si="277"/>
        <v>1.0084622248227255</v>
      </c>
      <c r="P226" s="30">
        <f t="shared" si="282"/>
        <v>3.086969140886519</v>
      </c>
      <c r="Q226" s="30">
        <f t="shared" si="278"/>
        <v>0.9974819590145971</v>
      </c>
      <c r="R226" s="30">
        <f t="shared" si="283"/>
        <v>1.6758753671753948</v>
      </c>
      <c r="S226" s="29">
        <f t="shared" si="279"/>
        <v>1.0011463850320543</v>
      </c>
      <c r="T226" s="30">
        <f t="shared" si="284"/>
        <v>2.223785666622281</v>
      </c>
      <c r="V226" s="50"/>
      <c r="W226" s="50"/>
      <c r="X226" s="50"/>
      <c r="Y226" s="50"/>
      <c r="Z226" s="50"/>
    </row>
    <row r="227" spans="2:26" ht="13.5" customHeight="1">
      <c r="B227" s="110" t="s">
        <v>287</v>
      </c>
      <c r="C227" s="10">
        <v>519805.41</v>
      </c>
      <c r="D227" s="67">
        <v>528744.73</v>
      </c>
      <c r="E227" s="67">
        <v>556311.61</v>
      </c>
      <c r="F227" s="55">
        <v>406315.87</v>
      </c>
      <c r="G227" s="68">
        <f t="shared" si="285"/>
        <v>2011177.62</v>
      </c>
      <c r="H227" s="17"/>
      <c r="J227" s="96" t="s">
        <v>287</v>
      </c>
      <c r="K227" s="29">
        <f t="shared" si="275"/>
        <v>0.977464579923737</v>
      </c>
      <c r="L227" s="30">
        <f t="shared" si="280"/>
        <v>1.1338105064277597</v>
      </c>
      <c r="M227" s="29">
        <f t="shared" si="276"/>
        <v>0.9669516497411104</v>
      </c>
      <c r="N227" s="30">
        <f t="shared" si="281"/>
        <v>2.5597311303492205</v>
      </c>
      <c r="O227" s="29">
        <f t="shared" si="277"/>
        <v>0.9703400127427072</v>
      </c>
      <c r="P227" s="30">
        <f t="shared" si="282"/>
        <v>2.995409675504169</v>
      </c>
      <c r="Q227" s="30">
        <f t="shared" si="278"/>
        <v>1.010733807615889</v>
      </c>
      <c r="R227" s="30">
        <f t="shared" si="283"/>
        <v>1.6938638909548627</v>
      </c>
      <c r="S227" s="29">
        <f t="shared" si="279"/>
        <v>0.9791885930036781</v>
      </c>
      <c r="T227" s="30">
        <f t="shared" si="284"/>
        <v>2.1775055580416174</v>
      </c>
      <c r="V227" s="50"/>
      <c r="W227" s="50"/>
      <c r="X227" s="50"/>
      <c r="Y227" s="50"/>
      <c r="Z227" s="50"/>
    </row>
    <row r="228" spans="2:26" ht="13.5" customHeight="1">
      <c r="B228" s="110" t="s">
        <v>288</v>
      </c>
      <c r="C228" s="10">
        <v>556610.82</v>
      </c>
      <c r="D228" s="67">
        <v>558432.6</v>
      </c>
      <c r="E228" s="67">
        <v>584963</v>
      </c>
      <c r="F228" s="55">
        <v>406723.95</v>
      </c>
      <c r="G228" s="68">
        <f t="shared" si="285"/>
        <v>2106730.37</v>
      </c>
      <c r="H228" s="17"/>
      <c r="J228" s="96" t="s">
        <v>288</v>
      </c>
      <c r="K228" s="29">
        <f t="shared" si="275"/>
        <v>1.070806131086631</v>
      </c>
      <c r="L228" s="30">
        <f t="shared" si="280"/>
        <v>1.2140912417732832</v>
      </c>
      <c r="M228" s="29">
        <f t="shared" si="276"/>
        <v>1.0561478314876065</v>
      </c>
      <c r="N228" s="30">
        <f t="shared" si="281"/>
        <v>2.703454482509649</v>
      </c>
      <c r="O228" s="29">
        <f t="shared" si="277"/>
        <v>1.0515024124698746</v>
      </c>
      <c r="P228" s="30">
        <f t="shared" si="282"/>
        <v>3.149680500128238</v>
      </c>
      <c r="Q228" s="30">
        <f t="shared" si="278"/>
        <v>1.0010043417698649</v>
      </c>
      <c r="R228" s="30">
        <f t="shared" si="283"/>
        <v>1.6955651092130144</v>
      </c>
      <c r="S228" s="29">
        <f t="shared" si="279"/>
        <v>1.0475108459092737</v>
      </c>
      <c r="T228" s="30">
        <f t="shared" si="284"/>
        <v>2.28096068907632</v>
      </c>
      <c r="V228" s="50"/>
      <c r="W228" s="50"/>
      <c r="X228" s="50"/>
      <c r="Y228" s="50"/>
      <c r="Z228" s="50"/>
    </row>
    <row r="229" spans="2:26" ht="13.5" customHeight="1">
      <c r="B229" s="110" t="s">
        <v>289</v>
      </c>
      <c r="C229" s="10">
        <v>544374.19</v>
      </c>
      <c r="D229" s="67">
        <v>562155</v>
      </c>
      <c r="E229" s="67">
        <v>572977.58</v>
      </c>
      <c r="F229" s="55">
        <v>407718.52</v>
      </c>
      <c r="G229" s="68">
        <f t="shared" si="285"/>
        <v>2087225.29</v>
      </c>
      <c r="H229" s="17"/>
      <c r="J229" s="96" t="s">
        <v>289</v>
      </c>
      <c r="K229" s="29">
        <f t="shared" si="275"/>
        <v>0.9780158244139056</v>
      </c>
      <c r="L229" s="30">
        <f t="shared" si="280"/>
        <v>1.1874004467366</v>
      </c>
      <c r="M229" s="29">
        <f t="shared" si="276"/>
        <v>1.0066657999550885</v>
      </c>
      <c r="N229" s="30">
        <f>M229*N228</f>
        <v>2.7214751692777455</v>
      </c>
      <c r="O229" s="29">
        <f t="shared" si="277"/>
        <v>0.9795108066664044</v>
      </c>
      <c r="P229" s="30">
        <f>O229*P228</f>
        <v>3.0851460874220544</v>
      </c>
      <c r="Q229" s="30">
        <f t="shared" si="278"/>
        <v>1.0024453194851202</v>
      </c>
      <c r="R229" s="30">
        <f>Q229*R228</f>
        <v>1.699711307612863</v>
      </c>
      <c r="S229" s="29">
        <f t="shared" si="279"/>
        <v>0.990741539459556</v>
      </c>
      <c r="T229" s="30">
        <f>S229*T228</f>
        <v>2.259842504542203</v>
      </c>
      <c r="V229" s="50"/>
      <c r="W229" s="50"/>
      <c r="X229" s="50"/>
      <c r="Y229" s="50"/>
      <c r="Z229" s="50"/>
    </row>
    <row r="230" spans="2:26" ht="13.5" customHeight="1">
      <c r="B230" s="110" t="s">
        <v>290</v>
      </c>
      <c r="C230" s="10">
        <v>536899.95</v>
      </c>
      <c r="D230" s="67">
        <v>550782.51</v>
      </c>
      <c r="E230" s="67">
        <v>582185.51</v>
      </c>
      <c r="F230" s="55">
        <v>407541.26</v>
      </c>
      <c r="G230" s="68">
        <f t="shared" si="285"/>
        <v>2077409.23</v>
      </c>
      <c r="H230" s="17"/>
      <c r="J230" s="96" t="s">
        <v>290</v>
      </c>
      <c r="K230" s="29">
        <f t="shared" si="275"/>
        <v>0.9862700323834236</v>
      </c>
      <c r="L230" s="30">
        <f t="shared" si="280"/>
        <v>1.171097477054998</v>
      </c>
      <c r="M230" s="29">
        <f t="shared" si="276"/>
        <v>0.9797698321637272</v>
      </c>
      <c r="N230" s="30">
        <f>M230*N229</f>
        <v>2.6664192698410076</v>
      </c>
      <c r="O230" s="29">
        <f t="shared" si="277"/>
        <v>1.0160703146534984</v>
      </c>
      <c r="P230" s="30">
        <f>O230*P229</f>
        <v>3.1347253557989365</v>
      </c>
      <c r="Q230" s="30">
        <f t="shared" si="278"/>
        <v>0.9995652392734085</v>
      </c>
      <c r="R230" s="30">
        <f>Q230*R229</f>
        <v>1.6989723398897694</v>
      </c>
      <c r="S230" s="29">
        <f t="shared" si="279"/>
        <v>0.9952970769149697</v>
      </c>
      <c r="T230" s="30">
        <f>S230*T229</f>
        <v>2.249214639059059</v>
      </c>
      <c r="V230" s="50"/>
      <c r="W230" s="50"/>
      <c r="X230" s="50"/>
      <c r="Y230" s="50"/>
      <c r="Z230" s="50"/>
    </row>
    <row r="231" spans="2:26" ht="13.5" customHeight="1">
      <c r="B231" s="110" t="s">
        <v>294</v>
      </c>
      <c r="C231" s="10">
        <v>-27200</v>
      </c>
      <c r="D231" s="67">
        <v>-28100</v>
      </c>
      <c r="E231" s="67">
        <v>-28600</v>
      </c>
      <c r="F231" s="55">
        <v>-20400</v>
      </c>
      <c r="G231" s="68">
        <v>-104300</v>
      </c>
      <c r="H231" s="17"/>
      <c r="J231" s="96" t="s">
        <v>294</v>
      </c>
      <c r="K231" s="29" t="s">
        <v>155</v>
      </c>
      <c r="L231" s="30"/>
      <c r="M231" s="29"/>
      <c r="N231" s="30"/>
      <c r="O231" s="29"/>
      <c r="P231" s="30"/>
      <c r="Q231" s="30"/>
      <c r="R231" s="30"/>
      <c r="S231" s="29"/>
      <c r="T231" s="30"/>
      <c r="V231" s="50"/>
      <c r="W231" s="50"/>
      <c r="X231" s="50"/>
      <c r="Y231" s="50"/>
      <c r="Z231" s="50"/>
    </row>
    <row r="232" spans="2:26" ht="13.5" customHeight="1">
      <c r="B232" s="110" t="s">
        <v>295</v>
      </c>
      <c r="C232" s="10">
        <f>C230+C231</f>
        <v>509699.94999999995</v>
      </c>
      <c r="D232" s="67">
        <f>D230+D231</f>
        <v>522682.51</v>
      </c>
      <c r="E232" s="67">
        <f>E230+E231</f>
        <v>553585.51</v>
      </c>
      <c r="F232" s="55">
        <f>F230+F231</f>
        <v>387141.26</v>
      </c>
      <c r="G232" s="68">
        <f>G230+G231</f>
        <v>1973109.23</v>
      </c>
      <c r="H232" s="17"/>
      <c r="J232" s="96" t="s">
        <v>295</v>
      </c>
      <c r="K232" s="29"/>
      <c r="L232" s="30"/>
      <c r="M232" s="29"/>
      <c r="N232" s="30"/>
      <c r="O232" s="29"/>
      <c r="P232" s="30"/>
      <c r="Q232" s="30"/>
      <c r="R232" s="30"/>
      <c r="S232" s="29"/>
      <c r="T232" s="30"/>
      <c r="V232" s="50"/>
      <c r="W232" s="50"/>
      <c r="X232" s="50"/>
      <c r="Y232" s="50"/>
      <c r="Z232" s="50"/>
    </row>
    <row r="233" spans="2:26" ht="13.5" customHeight="1">
      <c r="B233" s="110" t="s">
        <v>296</v>
      </c>
      <c r="C233" s="10">
        <v>510329.37</v>
      </c>
      <c r="D233" s="67">
        <v>524317.5</v>
      </c>
      <c r="E233" s="67">
        <v>554024.41</v>
      </c>
      <c r="F233" s="55">
        <v>386044.54</v>
      </c>
      <c r="G233" s="68">
        <f>SUM(C233:F233)</f>
        <v>1974715.82</v>
      </c>
      <c r="H233" s="17"/>
      <c r="J233" s="96" t="s">
        <v>296</v>
      </c>
      <c r="K233" s="29">
        <f>C233/C232</f>
        <v>1.0012348833858038</v>
      </c>
      <c r="L233" s="30">
        <f>L230*K233</f>
        <v>1.17254364587257</v>
      </c>
      <c r="M233" s="29">
        <f>D233/D232</f>
        <v>1.003128074823089</v>
      </c>
      <c r="N233" s="30">
        <f>N230*M233</f>
        <v>2.674760028826797</v>
      </c>
      <c r="O233" s="29">
        <f>E233/E232</f>
        <v>1.0007928314453174</v>
      </c>
      <c r="P233" s="30">
        <f>P230*O233</f>
        <v>3.1372106646334474</v>
      </c>
      <c r="Q233" s="30">
        <f>F233/F232</f>
        <v>0.9971671322245528</v>
      </c>
      <c r="R233" s="30">
        <f>R230*Q233</f>
        <v>1.6941593758967195</v>
      </c>
      <c r="S233" s="29">
        <f>G233/G232</f>
        <v>1.0008142428080375</v>
      </c>
      <c r="T233" s="30">
        <f>T230*S233</f>
        <v>2.2510460459026453</v>
      </c>
      <c r="V233" s="50"/>
      <c r="W233" s="50"/>
      <c r="X233" s="50"/>
      <c r="Y233" s="50"/>
      <c r="Z233" s="50"/>
    </row>
    <row r="234" spans="2:26" ht="13.5" customHeight="1">
      <c r="B234" s="110" t="s">
        <v>291</v>
      </c>
      <c r="C234" s="10">
        <v>493771.89</v>
      </c>
      <c r="D234" s="67">
        <v>523404.5</v>
      </c>
      <c r="E234" s="67">
        <v>542745.94</v>
      </c>
      <c r="F234" s="55">
        <v>382561.55</v>
      </c>
      <c r="G234" s="68">
        <f>SUM(C234:F234)</f>
        <v>1942483.8800000001</v>
      </c>
      <c r="H234" s="17"/>
      <c r="J234" s="96" t="s">
        <v>291</v>
      </c>
      <c r="K234" s="29">
        <f t="shared" si="275"/>
        <v>0.9675553064876513</v>
      </c>
      <c r="L234" s="30">
        <f>K234*L233</f>
        <v>1.1345008266523826</v>
      </c>
      <c r="M234" s="29">
        <f>D234/D233</f>
        <v>0.9982586886762315</v>
      </c>
      <c r="N234" s="30">
        <f>M234*N233</f>
        <v>2.6701024389002375</v>
      </c>
      <c r="O234" s="29">
        <f>E234/E233</f>
        <v>0.9796426478753886</v>
      </c>
      <c r="P234" s="30">
        <f>O234*P233</f>
        <v>3.0733453624444182</v>
      </c>
      <c r="Q234" s="30">
        <f>F234/F233</f>
        <v>0.9909777509092604</v>
      </c>
      <c r="R234" s="30">
        <f>Q234*R233</f>
        <v>1.6788742480079675</v>
      </c>
      <c r="S234" s="29">
        <f>G234/G233</f>
        <v>0.9836776817841061</v>
      </c>
      <c r="T234" s="30">
        <f>S234*T233</f>
        <v>2.2143037560227925</v>
      </c>
      <c r="V234" s="50"/>
      <c r="W234" s="50"/>
      <c r="X234" s="50"/>
      <c r="Y234" s="50"/>
      <c r="Z234" s="50"/>
    </row>
    <row r="235" spans="2:26" ht="13.5" customHeight="1">
      <c r="B235" s="110" t="s">
        <v>292</v>
      </c>
      <c r="C235" s="10">
        <v>511372.84</v>
      </c>
      <c r="D235" s="67">
        <v>517521.74</v>
      </c>
      <c r="E235" s="67">
        <v>543077.86</v>
      </c>
      <c r="F235" s="55">
        <v>384608.26</v>
      </c>
      <c r="G235" s="68">
        <f>SUM(C235:F235)</f>
        <v>1956580.7</v>
      </c>
      <c r="H235" s="17"/>
      <c r="J235" s="96" t="s">
        <v>292</v>
      </c>
      <c r="K235" s="29">
        <f>C235/C234</f>
        <v>1.035645913338647</v>
      </c>
      <c r="L235" s="30">
        <f>K235*L234</f>
        <v>1.174941144801857</v>
      </c>
      <c r="M235" s="29">
        <f>D235/D234</f>
        <v>0.9887605857420025</v>
      </c>
      <c r="N235" s="30">
        <f>M235*N234</f>
        <v>2.6400920514781485</v>
      </c>
      <c r="O235" s="29">
        <f>E235/E234</f>
        <v>1.0006115568547598</v>
      </c>
      <c r="P235" s="30">
        <f>O235*P234</f>
        <v>3.0752248878678654</v>
      </c>
      <c r="Q235" s="30">
        <f>F235/F234</f>
        <v>1.0053500149191679</v>
      </c>
      <c r="R235" s="30">
        <f>Q235*R234</f>
        <v>1.6878562502822168</v>
      </c>
      <c r="S235" s="29">
        <f>G235/G234</f>
        <v>1.0072571104167927</v>
      </c>
      <c r="T235" s="30">
        <f>S235*T234</f>
        <v>2.2303732028765686</v>
      </c>
      <c r="V235" s="50"/>
      <c r="W235" s="50"/>
      <c r="X235" s="50"/>
      <c r="Y235" s="50"/>
      <c r="Z235" s="50"/>
    </row>
    <row r="236" spans="2:26" ht="13.5" customHeight="1">
      <c r="B236" s="110" t="s">
        <v>293</v>
      </c>
      <c r="C236" s="10">
        <v>466256.78</v>
      </c>
      <c r="D236" s="67">
        <v>504860.95</v>
      </c>
      <c r="E236" s="67">
        <v>513402.37</v>
      </c>
      <c r="F236" s="55">
        <v>383303.59</v>
      </c>
      <c r="G236" s="68">
        <f>SUM(C236:F236)</f>
        <v>1867823.6900000002</v>
      </c>
      <c r="H236" s="17"/>
      <c r="J236" s="96" t="s">
        <v>293</v>
      </c>
      <c r="K236" s="29">
        <f>C236/C235</f>
        <v>0.9117746261221069</v>
      </c>
      <c r="L236" s="30">
        <f>K236*L235</f>
        <v>1.0712815230171935</v>
      </c>
      <c r="M236" s="29">
        <f>D236/D235</f>
        <v>0.9755357330495914</v>
      </c>
      <c r="N236" s="30">
        <f>M236*N235</f>
        <v>2.5755041347571352</v>
      </c>
      <c r="O236" s="29">
        <f>E236/E235</f>
        <v>0.945356840729983</v>
      </c>
      <c r="P236" s="30">
        <f>O236*P235</f>
        <v>2.9071848845289816</v>
      </c>
      <c r="Q236" s="30">
        <f>F236/F235</f>
        <v>0.9966077951627976</v>
      </c>
      <c r="R236" s="30">
        <f>Q236*R235</f>
        <v>1.6821306961455071</v>
      </c>
      <c r="S236" s="29">
        <f>G236/G235</f>
        <v>0.9546366730490596</v>
      </c>
      <c r="T236" s="30">
        <f>S236*T235</f>
        <v>2.129196054051863</v>
      </c>
      <c r="V236" s="50"/>
      <c r="W236" s="50"/>
      <c r="X236" s="50"/>
      <c r="Y236" s="50"/>
      <c r="Z236" s="50"/>
    </row>
    <row r="237" spans="2:26" ht="13.5" customHeight="1">
      <c r="B237" s="110" t="s">
        <v>297</v>
      </c>
      <c r="C237" s="10">
        <v>448719.24</v>
      </c>
      <c r="D237" s="67">
        <v>486018.77</v>
      </c>
      <c r="E237" s="67">
        <v>497784.2</v>
      </c>
      <c r="F237" s="55">
        <v>384713</v>
      </c>
      <c r="G237" s="68">
        <f aca="true" t="shared" si="286" ref="G237:G252">SUM(C237:F237)</f>
        <v>1817235.21</v>
      </c>
      <c r="H237" s="17"/>
      <c r="J237" s="96" t="str">
        <f aca="true" t="shared" si="287" ref="J237:J252">B237</f>
        <v>   09/15</v>
      </c>
      <c r="K237" s="29">
        <f aca="true" t="shared" si="288" ref="K237:K242">C237/C236</f>
        <v>0.962386520148833</v>
      </c>
      <c r="L237" s="30">
        <f aca="true" t="shared" si="289" ref="L237:L242">K237*L236</f>
        <v>1.0309868970362588</v>
      </c>
      <c r="M237" s="29">
        <f aca="true" t="shared" si="290" ref="M237:M242">D237/D236</f>
        <v>0.96267847612298</v>
      </c>
      <c r="N237" s="30">
        <f aca="true" t="shared" si="291" ref="N237:N242">M237*N236</f>
        <v>2.479382395696433</v>
      </c>
      <c r="O237" s="29">
        <f aca="true" t="shared" si="292" ref="O237:O242">E237/E236</f>
        <v>0.9695790847245213</v>
      </c>
      <c r="P237" s="30">
        <f aca="true" t="shared" si="293" ref="P237:P242">O237*P236</f>
        <v>2.818745659466573</v>
      </c>
      <c r="Q237" s="30">
        <f aca="true" t="shared" si="294" ref="Q237:Q242">F237/F236</f>
        <v>1.0036770070429029</v>
      </c>
      <c r="R237" s="30">
        <f aca="true" t="shared" si="295" ref="R237:R242">Q237*R236</f>
        <v>1.6883159025623173</v>
      </c>
      <c r="S237" s="29">
        <f aca="true" t="shared" si="296" ref="S237:S242">G237/G236</f>
        <v>0.9729158162674336</v>
      </c>
      <c r="T237" s="30">
        <f aca="true" t="shared" si="297" ref="T237:T242">S237*T236</f>
        <v>2.071528516921267</v>
      </c>
      <c r="V237" s="50"/>
      <c r="W237" s="50"/>
      <c r="X237" s="50"/>
      <c r="Y237" s="50"/>
      <c r="Z237" s="50"/>
    </row>
    <row r="238" spans="2:26" ht="13.5" customHeight="1">
      <c r="B238" s="110" t="s">
        <v>298</v>
      </c>
      <c r="C238" s="10">
        <v>468101.37</v>
      </c>
      <c r="D238" s="67">
        <v>504567.02</v>
      </c>
      <c r="E238" s="67">
        <v>532872.07</v>
      </c>
      <c r="F238" s="55">
        <v>386028.18</v>
      </c>
      <c r="G238" s="68">
        <f t="shared" si="286"/>
        <v>1891568.64</v>
      </c>
      <c r="H238" s="17"/>
      <c r="J238" s="96" t="str">
        <f t="shared" si="287"/>
        <v>   10/15</v>
      </c>
      <c r="K238" s="29">
        <f t="shared" si="288"/>
        <v>1.043194336841897</v>
      </c>
      <c r="L238" s="30">
        <f t="shared" si="289"/>
        <v>1.0755196923464252</v>
      </c>
      <c r="M238" s="29">
        <f t="shared" si="290"/>
        <v>1.0381636495232478</v>
      </c>
      <c r="N238" s="30">
        <f t="shared" si="291"/>
        <v>2.5740046764799023</v>
      </c>
      <c r="O238" s="29">
        <f t="shared" si="292"/>
        <v>1.0704881151310144</v>
      </c>
      <c r="P238" s="30">
        <f t="shared" si="293"/>
        <v>3.0174337280361</v>
      </c>
      <c r="Q238" s="30">
        <f t="shared" si="294"/>
        <v>1.003418600359229</v>
      </c>
      <c r="R238" s="30">
        <f t="shared" si="295"/>
        <v>1.6940875799133088</v>
      </c>
      <c r="S238" s="29">
        <f t="shared" si="296"/>
        <v>1.0409046828891235</v>
      </c>
      <c r="T238" s="30">
        <f t="shared" si="297"/>
        <v>2.156263734001708</v>
      </c>
      <c r="V238" s="50"/>
      <c r="W238" s="50"/>
      <c r="X238" s="50"/>
      <c r="Y238" s="50"/>
      <c r="Z238" s="50"/>
    </row>
    <row r="239" spans="2:26" ht="13.5" customHeight="1">
      <c r="B239" s="110" t="s">
        <v>299</v>
      </c>
      <c r="C239" s="10">
        <v>463020.15</v>
      </c>
      <c r="D239" s="67">
        <v>521383.62</v>
      </c>
      <c r="E239" s="67">
        <v>537514.41</v>
      </c>
      <c r="F239" s="55">
        <v>384938.41</v>
      </c>
      <c r="G239" s="68">
        <f t="shared" si="286"/>
        <v>1906856.59</v>
      </c>
      <c r="H239" s="17"/>
      <c r="J239" s="96" t="str">
        <f t="shared" si="287"/>
        <v>   11/15</v>
      </c>
      <c r="K239" s="29">
        <f t="shared" si="288"/>
        <v>0.9891450435190994</v>
      </c>
      <c r="L239" s="30">
        <f t="shared" si="289"/>
        <v>1.063844972891653</v>
      </c>
      <c r="M239" s="29">
        <f t="shared" si="290"/>
        <v>1.033328773648345</v>
      </c>
      <c r="N239" s="30">
        <f t="shared" si="291"/>
        <v>2.6597930957120823</v>
      </c>
      <c r="O239" s="29">
        <f t="shared" si="292"/>
        <v>1.0087119221692367</v>
      </c>
      <c r="P239" s="30">
        <f t="shared" si="293"/>
        <v>3.04372137582558</v>
      </c>
      <c r="Q239" s="30">
        <f t="shared" si="294"/>
        <v>0.9971769677540121</v>
      </c>
      <c r="R239" s="30">
        <f t="shared" si="295"/>
        <v>1.689305116047686</v>
      </c>
      <c r="S239" s="29">
        <f t="shared" si="296"/>
        <v>1.008082154502202</v>
      </c>
      <c r="T239" s="30">
        <f t="shared" si="297"/>
        <v>2.1736909906474047</v>
      </c>
      <c r="V239" s="50"/>
      <c r="W239" s="50"/>
      <c r="X239" s="50"/>
      <c r="Y239" s="50"/>
      <c r="Z239" s="50"/>
    </row>
    <row r="240" spans="2:26" ht="13.5" customHeight="1">
      <c r="B240" s="110" t="s">
        <v>300</v>
      </c>
      <c r="C240" s="10">
        <v>456578.75</v>
      </c>
      <c r="D240" s="67">
        <v>492858.2</v>
      </c>
      <c r="E240" s="67">
        <v>514103.47</v>
      </c>
      <c r="F240" s="55">
        <v>383558.93</v>
      </c>
      <c r="G240" s="68">
        <f t="shared" si="286"/>
        <v>1847099.3499999999</v>
      </c>
      <c r="H240" s="17"/>
      <c r="J240" s="96" t="str">
        <f t="shared" si="287"/>
        <v>   12/15</v>
      </c>
      <c r="K240" s="29">
        <f t="shared" si="288"/>
        <v>0.9860882944295188</v>
      </c>
      <c r="L240" s="30">
        <f t="shared" si="289"/>
        <v>1.049045074856148</v>
      </c>
      <c r="M240" s="29">
        <f t="shared" si="290"/>
        <v>0.9452889985304871</v>
      </c>
      <c r="N240" s="30">
        <f t="shared" si="291"/>
        <v>2.5142731517439785</v>
      </c>
      <c r="O240" s="29">
        <f t="shared" si="292"/>
        <v>0.9564459304449158</v>
      </c>
      <c r="P240" s="30">
        <f t="shared" si="293"/>
        <v>2.9111549233165763</v>
      </c>
      <c r="Q240" s="30">
        <f t="shared" si="294"/>
        <v>0.9964163617759008</v>
      </c>
      <c r="R240" s="30">
        <f t="shared" si="295"/>
        <v>1.6832512576616512</v>
      </c>
      <c r="S240" s="29">
        <f t="shared" si="296"/>
        <v>0.9686619118011386</v>
      </c>
      <c r="T240" s="30">
        <f t="shared" si="297"/>
        <v>2.1055716706654257</v>
      </c>
      <c r="V240" s="50"/>
      <c r="W240" s="50"/>
      <c r="X240" s="50"/>
      <c r="Y240" s="50"/>
      <c r="Z240" s="50"/>
    </row>
    <row r="241" spans="2:26" ht="13.5" customHeight="1">
      <c r="B241" s="110" t="s">
        <v>301</v>
      </c>
      <c r="C241" s="10">
        <v>425913.94</v>
      </c>
      <c r="D241" s="67">
        <v>466020.25</v>
      </c>
      <c r="E241" s="67">
        <v>479663.88</v>
      </c>
      <c r="F241" s="55">
        <v>389044</v>
      </c>
      <c r="G241" s="68">
        <f t="shared" si="286"/>
        <v>1760642.0699999998</v>
      </c>
      <c r="H241" s="17"/>
      <c r="J241" s="96" t="str">
        <f t="shared" si="287"/>
        <v>   01/16</v>
      </c>
      <c r="K241" s="29">
        <f t="shared" si="288"/>
        <v>0.9328378510826446</v>
      </c>
      <c r="L241" s="30">
        <f t="shared" si="289"/>
        <v>0.9785889533176411</v>
      </c>
      <c r="M241" s="29">
        <f t="shared" si="290"/>
        <v>0.9455463052050265</v>
      </c>
      <c r="N241" s="30">
        <f t="shared" si="291"/>
        <v>2.377361688907716</v>
      </c>
      <c r="O241" s="29">
        <f t="shared" si="292"/>
        <v>0.9330103918574991</v>
      </c>
      <c r="P241" s="30">
        <f t="shared" si="293"/>
        <v>2.7161377957614867</v>
      </c>
      <c r="Q241" s="30">
        <f t="shared" si="294"/>
        <v>1.0143004622523064</v>
      </c>
      <c r="R241" s="30">
        <f t="shared" si="295"/>
        <v>1.707322528732989</v>
      </c>
      <c r="S241" s="29">
        <f t="shared" si="296"/>
        <v>0.9531929454687967</v>
      </c>
      <c r="T241" s="30">
        <f t="shared" si="297"/>
        <v>2.0070160626572324</v>
      </c>
      <c r="V241" s="50"/>
      <c r="W241" s="50"/>
      <c r="X241" s="50"/>
      <c r="Y241" s="50"/>
      <c r="Z241" s="50"/>
    </row>
    <row r="242" spans="2:26" ht="13.5" customHeight="1">
      <c r="B242" s="110" t="s">
        <v>302</v>
      </c>
      <c r="C242" s="10">
        <v>420689.1</v>
      </c>
      <c r="D242" s="67">
        <v>471685.64</v>
      </c>
      <c r="E242" s="67">
        <v>479593.57</v>
      </c>
      <c r="F242" s="55">
        <v>388287.12</v>
      </c>
      <c r="G242" s="68">
        <f>SUM(C242:F242)</f>
        <v>1760255.4300000002</v>
      </c>
      <c r="H242" s="17"/>
      <c r="J242" s="96" t="str">
        <f t="shared" si="287"/>
        <v>   02/16</v>
      </c>
      <c r="K242" s="29">
        <f t="shared" si="288"/>
        <v>0.987732639133624</v>
      </c>
      <c r="L242" s="30">
        <f t="shared" si="289"/>
        <v>0.9665842494874444</v>
      </c>
      <c r="M242" s="29">
        <f t="shared" si="290"/>
        <v>1.012156960990429</v>
      </c>
      <c r="N242" s="30">
        <f t="shared" si="291"/>
        <v>2.4062631822199076</v>
      </c>
      <c r="O242" s="29">
        <f t="shared" si="292"/>
        <v>0.9998534181894205</v>
      </c>
      <c r="P242" s="30">
        <f t="shared" si="293"/>
        <v>2.7157396593656005</v>
      </c>
      <c r="Q242" s="30">
        <f t="shared" si="294"/>
        <v>0.9980545131141979</v>
      </c>
      <c r="R242" s="30">
        <f t="shared" si="295"/>
        <v>1.7040009551435045</v>
      </c>
      <c r="S242" s="29">
        <f t="shared" si="296"/>
        <v>0.9997803982952653</v>
      </c>
      <c r="T242" s="30">
        <f t="shared" si="297"/>
        <v>2.006575318508443</v>
      </c>
      <c r="V242" s="50"/>
      <c r="W242" s="50"/>
      <c r="X242" s="50"/>
      <c r="Y242" s="50"/>
      <c r="Z242" s="50"/>
    </row>
    <row r="243" spans="2:26" ht="13.5" customHeight="1">
      <c r="B243" s="110" t="s">
        <v>303</v>
      </c>
      <c r="C243" s="10">
        <v>441697.9</v>
      </c>
      <c r="D243" s="67">
        <v>503492.49</v>
      </c>
      <c r="E243" s="67">
        <v>519078.71</v>
      </c>
      <c r="F243" s="55">
        <v>393115.92</v>
      </c>
      <c r="G243" s="68">
        <f t="shared" si="286"/>
        <v>1857385.02</v>
      </c>
      <c r="H243" s="17"/>
      <c r="J243" s="96" t="str">
        <f t="shared" si="287"/>
        <v>   03/16</v>
      </c>
      <c r="K243" s="29">
        <f>C243/C242</f>
        <v>1.0499390167228009</v>
      </c>
      <c r="L243" s="30">
        <f>K243*L242</f>
        <v>1.0148545164865939</v>
      </c>
      <c r="M243" s="29">
        <f>D243/D242</f>
        <v>1.067432305125931</v>
      </c>
      <c r="N243" s="30">
        <f>M243*N242</f>
        <v>2.568523055336654</v>
      </c>
      <c r="O243" s="29">
        <f>E243/E242</f>
        <v>1.0823304199011676</v>
      </c>
      <c r="P243" s="30">
        <f>O243*P242</f>
        <v>2.939327645863424</v>
      </c>
      <c r="Q243" s="30">
        <f>F243/F242</f>
        <v>1.012436158067772</v>
      </c>
      <c r="R243" s="30">
        <f>Q243*R242</f>
        <v>1.7251921803693038</v>
      </c>
      <c r="S243" s="29">
        <f>G243/G242</f>
        <v>1.0551792588419966</v>
      </c>
      <c r="T243" s="30">
        <f>S243*T242</f>
        <v>2.117296657394382</v>
      </c>
      <c r="V243" s="50"/>
      <c r="W243" s="50"/>
      <c r="X243" s="50"/>
      <c r="Y243" s="50"/>
      <c r="Z243" s="50"/>
    </row>
    <row r="244" spans="2:26" ht="13.5" customHeight="1">
      <c r="B244" s="110" t="s">
        <v>304</v>
      </c>
      <c r="C244" s="10">
        <v>443338.57</v>
      </c>
      <c r="D244" s="67">
        <v>512308.48</v>
      </c>
      <c r="E244" s="67">
        <v>525355.57</v>
      </c>
      <c r="F244" s="55">
        <v>395724.16</v>
      </c>
      <c r="G244" s="68">
        <f t="shared" si="286"/>
        <v>1876726.78</v>
      </c>
      <c r="H244" s="17"/>
      <c r="J244" s="96" t="str">
        <f t="shared" si="287"/>
        <v>   04/16</v>
      </c>
      <c r="K244" s="29">
        <f>C244/C243</f>
        <v>1.0037144618527731</v>
      </c>
      <c r="L244" s="30">
        <f>K244*L243</f>
        <v>1.0186241548741979</v>
      </c>
      <c r="M244" s="29">
        <f>D244/D243</f>
        <v>1.0175096752684434</v>
      </c>
      <c r="N244" s="30">
        <f>M244*N243</f>
        <v>2.6134970599551086</v>
      </c>
      <c r="O244" s="29">
        <f>E244/E243</f>
        <v>1.0120923086982319</v>
      </c>
      <c r="P244" s="30">
        <f>O244*P243</f>
        <v>2.9748709031224516</v>
      </c>
      <c r="Q244" s="30">
        <f>F244/F243</f>
        <v>1.0066347859939124</v>
      </c>
      <c r="R244" s="30">
        <f>Q244*R243</f>
        <v>1.7366384612844252</v>
      </c>
      <c r="S244" s="29">
        <f>G244/G243</f>
        <v>1.0104134359821637</v>
      </c>
      <c r="T244" s="30">
        <f>S244*T243</f>
        <v>2.139344990591408</v>
      </c>
      <c r="V244" s="50"/>
      <c r="W244" s="50"/>
      <c r="X244" s="50"/>
      <c r="Y244" s="50"/>
      <c r="Z244" s="50"/>
    </row>
    <row r="245" spans="2:26" ht="13.5" customHeight="1">
      <c r="B245" s="110" t="s">
        <v>309</v>
      </c>
      <c r="C245" s="10">
        <v>-22100</v>
      </c>
      <c r="D245" s="67">
        <v>-25200</v>
      </c>
      <c r="E245" s="67">
        <v>-26000</v>
      </c>
      <c r="F245" s="55">
        <v>-19700</v>
      </c>
      <c r="G245" s="68">
        <f t="shared" si="286"/>
        <v>-93000</v>
      </c>
      <c r="H245" s="17"/>
      <c r="J245" s="96" t="str">
        <f t="shared" si="287"/>
        <v>   05/16 - withdrawal</v>
      </c>
      <c r="K245" s="29"/>
      <c r="L245" s="30"/>
      <c r="M245" s="29"/>
      <c r="N245" s="30"/>
      <c r="O245" s="29"/>
      <c r="P245" s="30"/>
      <c r="Q245" s="30"/>
      <c r="R245" s="30"/>
      <c r="S245" s="29"/>
      <c r="T245" s="30"/>
      <c r="V245" s="50"/>
      <c r="W245" s="50"/>
      <c r="X245" s="50"/>
      <c r="Y245" s="50"/>
      <c r="Z245" s="50"/>
    </row>
    <row r="246" spans="2:26" ht="13.5" customHeight="1">
      <c r="B246" s="110" t="s">
        <v>310</v>
      </c>
      <c r="C246" s="10">
        <f>C244+C245</f>
        <v>421238.57</v>
      </c>
      <c r="D246" s="10">
        <f>D244+D245</f>
        <v>487108.48</v>
      </c>
      <c r="E246" s="10">
        <f>E244+E245</f>
        <v>499355.56999999995</v>
      </c>
      <c r="F246" s="10">
        <f>F244+F245</f>
        <v>376024.16</v>
      </c>
      <c r="G246" s="68">
        <f t="shared" si="286"/>
        <v>1783726.78</v>
      </c>
      <c r="H246" s="17"/>
      <c r="J246" s="96" t="str">
        <f t="shared" si="287"/>
        <v>   05/16 - after</v>
      </c>
      <c r="K246" s="29"/>
      <c r="L246" s="30"/>
      <c r="M246" s="29"/>
      <c r="N246" s="30"/>
      <c r="O246" s="29"/>
      <c r="P246" s="30"/>
      <c r="Q246" s="30"/>
      <c r="R246" s="30"/>
      <c r="S246" s="29"/>
      <c r="T246" s="30"/>
      <c r="V246" s="50"/>
      <c r="W246" s="50"/>
      <c r="X246" s="50"/>
      <c r="Y246" s="50"/>
      <c r="Z246" s="50"/>
    </row>
    <row r="247" spans="2:26" ht="13.5" customHeight="1">
      <c r="B247" s="110" t="s">
        <v>305</v>
      </c>
      <c r="C247" s="10">
        <v>426710.27</v>
      </c>
      <c r="D247" s="67">
        <v>499519.98</v>
      </c>
      <c r="E247" s="67">
        <v>500929.48</v>
      </c>
      <c r="F247" s="55">
        <v>375704.08</v>
      </c>
      <c r="G247" s="68">
        <f t="shared" si="286"/>
        <v>1802863.81</v>
      </c>
      <c r="H247" s="17"/>
      <c r="J247" s="96" t="str">
        <f t="shared" si="287"/>
        <v>   05/16</v>
      </c>
      <c r="K247" s="29">
        <f aca="true" t="shared" si="298" ref="K247:K252">C247/C246</f>
        <v>1.0129895512654503</v>
      </c>
      <c r="L247" s="30">
        <f>K247*L244</f>
        <v>1.0318556255541622</v>
      </c>
      <c r="M247" s="29">
        <f aca="true" t="shared" si="299" ref="M247:M252">D247/D246</f>
        <v>1.0254799505851346</v>
      </c>
      <c r="N247" s="30">
        <f>M247*N244</f>
        <v>2.6800888358971595</v>
      </c>
      <c r="O247" s="29">
        <f aca="true" t="shared" si="300" ref="O247:O252">E247/E246</f>
        <v>1.0031518823350665</v>
      </c>
      <c r="P247" s="30">
        <f>O247*P244</f>
        <v>2.9842473461711063</v>
      </c>
      <c r="Q247" s="30">
        <f aca="true" t="shared" si="301" ref="Q247:Q252">F247/F246</f>
        <v>0.9991487780997903</v>
      </c>
      <c r="R247" s="30">
        <f>Q247*R244</f>
        <v>1.7351601965934333</v>
      </c>
      <c r="S247" s="29">
        <f aca="true" t="shared" si="302" ref="S247:S252">G247/G246</f>
        <v>1.010728677852782</v>
      </c>
      <c r="T247" s="30">
        <f>S247*T244</f>
        <v>2.162297333811426</v>
      </c>
      <c r="V247" s="50"/>
      <c r="W247" s="50"/>
      <c r="X247" s="50"/>
      <c r="Y247" s="50"/>
      <c r="Z247" s="50"/>
    </row>
    <row r="248" spans="2:26" ht="13.5" customHeight="1">
      <c r="B248" s="110" t="s">
        <v>306</v>
      </c>
      <c r="C248" s="10">
        <v>426044.33</v>
      </c>
      <c r="D248" s="67">
        <v>507923.43</v>
      </c>
      <c r="E248" s="67">
        <v>498438.02</v>
      </c>
      <c r="F248" s="55">
        <v>382337.41</v>
      </c>
      <c r="G248" s="68">
        <f t="shared" si="286"/>
        <v>1814743.19</v>
      </c>
      <c r="H248" s="17"/>
      <c r="J248" s="96" t="str">
        <f t="shared" si="287"/>
        <v>   06/16</v>
      </c>
      <c r="K248" s="29">
        <f t="shared" si="298"/>
        <v>0.9984393626148252</v>
      </c>
      <c r="L248" s="30">
        <f aca="true" t="shared" si="303" ref="L248:L256">K248*L247</f>
        <v>1.0302452730888194</v>
      </c>
      <c r="M248" s="29">
        <f t="shared" si="299"/>
        <v>1.0168230508016918</v>
      </c>
      <c r="N248" s="30">
        <f aca="true" t="shared" si="304" ref="N248:N256">M248*N247</f>
        <v>2.7251761065365043</v>
      </c>
      <c r="O248" s="29">
        <f t="shared" si="300"/>
        <v>0.995026325861277</v>
      </c>
      <c r="P248" s="30">
        <f aca="true" t="shared" si="305" ref="P248:P256">O248*P247</f>
        <v>2.9694046723219025</v>
      </c>
      <c r="Q248" s="30">
        <f t="shared" si="301"/>
        <v>1.0176557305419733</v>
      </c>
      <c r="R248" s="30">
        <f aca="true" t="shared" si="306" ref="R248:R256">Q248*R247</f>
        <v>1.7657957174716445</v>
      </c>
      <c r="S248" s="29">
        <f t="shared" si="302"/>
        <v>1.0065891721460647</v>
      </c>
      <c r="T248" s="30">
        <f aca="true" t="shared" si="307" ref="T248:T256">S248*T247</f>
        <v>2.1765450831748865</v>
      </c>
      <c r="V248" s="50"/>
      <c r="W248" s="50"/>
      <c r="X248" s="50"/>
      <c r="Y248" s="50"/>
      <c r="Z248" s="50"/>
    </row>
    <row r="249" spans="2:26" ht="13.5" customHeight="1">
      <c r="B249" s="110" t="s">
        <v>307</v>
      </c>
      <c r="C249" s="10">
        <v>450382.67</v>
      </c>
      <c r="D249" s="67">
        <v>532989.08</v>
      </c>
      <c r="E249" s="67">
        <v>515891.04</v>
      </c>
      <c r="F249" s="55">
        <v>384616.47</v>
      </c>
      <c r="G249" s="68">
        <f t="shared" si="286"/>
        <v>1883879.26</v>
      </c>
      <c r="H249" s="17"/>
      <c r="J249" s="96" t="str">
        <f t="shared" si="287"/>
        <v>   07/16</v>
      </c>
      <c r="K249" s="29">
        <f t="shared" si="298"/>
        <v>1.057126308898419</v>
      </c>
      <c r="L249" s="30">
        <f t="shared" si="303"/>
        <v>1.0890993828004274</v>
      </c>
      <c r="M249" s="29">
        <f t="shared" si="299"/>
        <v>1.049349269042383</v>
      </c>
      <c r="N249" s="30">
        <f t="shared" si="304"/>
        <v>2.859661555405848</v>
      </c>
      <c r="O249" s="29">
        <f t="shared" si="300"/>
        <v>1.0350154267926832</v>
      </c>
      <c r="P249" s="30">
        <f t="shared" si="305"/>
        <v>3.073379644243442</v>
      </c>
      <c r="Q249" s="30">
        <f t="shared" si="301"/>
        <v>1.0059608605916956</v>
      </c>
      <c r="R249" s="30">
        <f t="shared" si="306"/>
        <v>1.7763213795769062</v>
      </c>
      <c r="S249" s="29">
        <f t="shared" si="302"/>
        <v>1.0380968890700177</v>
      </c>
      <c r="T249" s="30">
        <f t="shared" si="307"/>
        <v>2.2594646797644926</v>
      </c>
      <c r="V249" s="50"/>
      <c r="W249" s="50"/>
      <c r="X249" s="50"/>
      <c r="Y249" s="50"/>
      <c r="Z249" s="50"/>
    </row>
    <row r="250" spans="2:26" ht="13.5" customHeight="1">
      <c r="B250" s="110" t="s">
        <v>308</v>
      </c>
      <c r="C250" s="10">
        <v>449735.21</v>
      </c>
      <c r="D250" s="67">
        <v>541971.13</v>
      </c>
      <c r="E250" s="67">
        <v>519004.1</v>
      </c>
      <c r="F250" s="55">
        <v>384419.79</v>
      </c>
      <c r="G250" s="68">
        <f t="shared" si="286"/>
        <v>1895130.23</v>
      </c>
      <c r="H250" s="17"/>
      <c r="J250" s="96" t="str">
        <f t="shared" si="287"/>
        <v>   08/16</v>
      </c>
      <c r="K250" s="29">
        <f t="shared" si="298"/>
        <v>0.9985624224839735</v>
      </c>
      <c r="L250" s="30">
        <f t="shared" si="303"/>
        <v>1.087533718014995</v>
      </c>
      <c r="M250" s="29">
        <f t="shared" si="299"/>
        <v>1.0168522214376325</v>
      </c>
      <c r="N250" s="30">
        <f t="shared" si="304"/>
        <v>2.907853205174232</v>
      </c>
      <c r="O250" s="29">
        <f t="shared" si="300"/>
        <v>1.0060343362427848</v>
      </c>
      <c r="P250" s="30">
        <f t="shared" si="305"/>
        <v>3.091925450418537</v>
      </c>
      <c r="Q250" s="30">
        <f t="shared" si="301"/>
        <v>0.9994886334430765</v>
      </c>
      <c r="R250" s="30">
        <f t="shared" si="306"/>
        <v>1.7754130282290423</v>
      </c>
      <c r="S250" s="29">
        <f t="shared" si="302"/>
        <v>1.0059722351845415</v>
      </c>
      <c r="T250" s="30">
        <f t="shared" si="307"/>
        <v>2.2729587342232107</v>
      </c>
      <c r="V250" s="50"/>
      <c r="W250" s="50"/>
      <c r="X250" s="50"/>
      <c r="Y250" s="50"/>
      <c r="Z250" s="50"/>
    </row>
    <row r="251" spans="2:26" ht="13.5" customHeight="1">
      <c r="B251" s="110" t="s">
        <v>311</v>
      </c>
      <c r="C251" s="10">
        <v>449489.67</v>
      </c>
      <c r="D251" s="67">
        <v>543619.25</v>
      </c>
      <c r="E251" s="67">
        <v>509578.83</v>
      </c>
      <c r="F251" s="55">
        <v>385346.39</v>
      </c>
      <c r="G251" s="68">
        <f t="shared" si="286"/>
        <v>1888034.1400000001</v>
      </c>
      <c r="H251" s="17"/>
      <c r="J251" s="96" t="str">
        <f t="shared" si="287"/>
        <v>   09/16</v>
      </c>
      <c r="K251" s="29">
        <f t="shared" si="298"/>
        <v>0.9994540342972034</v>
      </c>
      <c r="L251" s="30">
        <f t="shared" si="303"/>
        <v>1.086939961904324</v>
      </c>
      <c r="M251" s="29">
        <f t="shared" si="299"/>
        <v>1.0030409737876629</v>
      </c>
      <c r="N251" s="30">
        <f t="shared" si="304"/>
        <v>2.9166959105495383</v>
      </c>
      <c r="O251" s="29">
        <f t="shared" si="300"/>
        <v>0.9818397003029457</v>
      </c>
      <c r="P251" s="30">
        <f t="shared" si="305"/>
        <v>3.0357751575979868</v>
      </c>
      <c r="Q251" s="30">
        <f t="shared" si="301"/>
        <v>1.002410385792053</v>
      </c>
      <c r="R251" s="30">
        <f t="shared" si="306"/>
        <v>1.7796924585673115</v>
      </c>
      <c r="S251" s="29">
        <f t="shared" si="302"/>
        <v>0.9962556188025137</v>
      </c>
      <c r="T251" s="30">
        <f t="shared" si="307"/>
        <v>2.264447910276123</v>
      </c>
      <c r="V251" s="50"/>
      <c r="W251" s="50"/>
      <c r="X251" s="50"/>
      <c r="Y251" s="50"/>
      <c r="Z251" s="50"/>
    </row>
    <row r="252" spans="2:26" ht="13.5" customHeight="1">
      <c r="B252" s="110" t="s">
        <v>312</v>
      </c>
      <c r="C252" s="10">
        <v>442409.49</v>
      </c>
      <c r="D252" s="115">
        <v>522889.72</v>
      </c>
      <c r="E252" s="115">
        <v>507255.22</v>
      </c>
      <c r="F252" s="116">
        <v>382468</v>
      </c>
      <c r="G252" s="68">
        <f t="shared" si="286"/>
        <v>1855022.43</v>
      </c>
      <c r="H252" s="17"/>
      <c r="J252" s="96" t="str">
        <f t="shared" si="287"/>
        <v>   10/16</v>
      </c>
      <c r="K252">
        <f t="shared" si="298"/>
        <v>0.9842484033059091</v>
      </c>
      <c r="L252">
        <f t="shared" si="303"/>
        <v>1.0698189219937166</v>
      </c>
      <c r="M252">
        <f t="shared" si="299"/>
        <v>0.9618675571183323</v>
      </c>
      <c r="N252">
        <f t="shared" si="304"/>
        <v>2.805475170337314</v>
      </c>
      <c r="O252">
        <f t="shared" si="300"/>
        <v>0.9954401363180648</v>
      </c>
      <c r="P252">
        <f t="shared" si="305"/>
        <v>3.0219324367103346</v>
      </c>
      <c r="Q252">
        <f t="shared" si="301"/>
        <v>0.9925303828589129</v>
      </c>
      <c r="R252">
        <f t="shared" si="306"/>
        <v>1.7663988372729338</v>
      </c>
      <c r="S252">
        <f t="shared" si="302"/>
        <v>0.9825153002794748</v>
      </c>
      <c r="T252">
        <f t="shared" si="307"/>
        <v>2.2248547185321743</v>
      </c>
      <c r="V252" s="50">
        <f>C252/G252</f>
        <v>0.23849279817063992</v>
      </c>
      <c r="W252" s="50">
        <f>D252/G252</f>
        <v>0.281877842307276</v>
      </c>
      <c r="X252" s="50">
        <f>E252/G252</f>
        <v>0.273449642331279</v>
      </c>
      <c r="Y252" s="50">
        <f>F252/G252</f>
        <v>0.20617971719080508</v>
      </c>
      <c r="Z252" s="50">
        <f>SUM(V252:Y252)</f>
        <v>1</v>
      </c>
    </row>
    <row r="253" spans="2:26" ht="13.5" customHeight="1">
      <c r="B253" s="110" t="s">
        <v>313</v>
      </c>
      <c r="C253" s="10">
        <v>453231.56</v>
      </c>
      <c r="D253" s="115">
        <v>569827.57</v>
      </c>
      <c r="E253" s="115">
        <v>526110.87</v>
      </c>
      <c r="F253" s="116">
        <v>375028.94</v>
      </c>
      <c r="G253" s="68">
        <v>1924198.94</v>
      </c>
      <c r="H253" s="17"/>
      <c r="J253" s="96" t="str">
        <f>B253</f>
        <v>   11/16</v>
      </c>
      <c r="K253">
        <f aca="true" t="shared" si="308" ref="K253:K258">C253/C252</f>
        <v>1.0244616588129698</v>
      </c>
      <c r="L253">
        <f t="shared" si="303"/>
        <v>1.095988467455186</v>
      </c>
      <c r="M253">
        <f aca="true" t="shared" si="309" ref="M253:M258">D253/D252</f>
        <v>1.0897662512852615</v>
      </c>
      <c r="N253">
        <f t="shared" si="304"/>
        <v>3.057312159452375</v>
      </c>
      <c r="O253">
        <f aca="true" t="shared" si="310" ref="O253:O258">E253/E252</f>
        <v>1.0371719190982402</v>
      </c>
      <c r="P253">
        <f t="shared" si="305"/>
        <v>3.1342634647680794</v>
      </c>
      <c r="Q253">
        <f aca="true" t="shared" si="311" ref="Q253:Q258">F253/F252</f>
        <v>0.9805498499220849</v>
      </c>
      <c r="R253">
        <f t="shared" si="306"/>
        <v>1.7320421147905205</v>
      </c>
      <c r="S253">
        <f aca="true" t="shared" si="312" ref="S253:S258">G253/G252</f>
        <v>1.0372914682223007</v>
      </c>
      <c r="T253">
        <f t="shared" si="307"/>
        <v>2.3078228175675526</v>
      </c>
      <c r="V253" s="50"/>
      <c r="W253" s="50"/>
      <c r="X253" s="50"/>
      <c r="Y253" s="50"/>
      <c r="Z253" s="50"/>
    </row>
    <row r="254" spans="2:26" ht="13.5" customHeight="1">
      <c r="B254" s="110" t="s">
        <v>314</v>
      </c>
      <c r="C254" s="10">
        <v>457622.21</v>
      </c>
      <c r="D254" s="115">
        <v>593419.25</v>
      </c>
      <c r="E254" s="115">
        <v>533771.27</v>
      </c>
      <c r="F254" s="116">
        <v>376765.78</v>
      </c>
      <c r="G254" s="68">
        <f aca="true" t="shared" si="313" ref="G254:G267">SUM(C254:F254)</f>
        <v>1961578.51</v>
      </c>
      <c r="H254" s="17"/>
      <c r="J254" s="96" t="str">
        <f>B254</f>
        <v>   12/16</v>
      </c>
      <c r="K254">
        <f t="shared" si="308"/>
        <v>1.009687432181466</v>
      </c>
      <c r="L254">
        <f t="shared" si="303"/>
        <v>1.106605781405327</v>
      </c>
      <c r="M254">
        <f t="shared" si="309"/>
        <v>1.0414014365784374</v>
      </c>
      <c r="N254">
        <f t="shared" si="304"/>
        <v>3.183889274922428</v>
      </c>
      <c r="O254">
        <f t="shared" si="310"/>
        <v>1.014560429059373</v>
      </c>
      <c r="P254">
        <f t="shared" si="305"/>
        <v>3.17989968560022</v>
      </c>
      <c r="Q254">
        <f t="shared" si="311"/>
        <v>1.004631215926963</v>
      </c>
      <c r="R254">
        <f t="shared" si="306"/>
        <v>1.740063575818709</v>
      </c>
      <c r="S254">
        <f t="shared" si="312"/>
        <v>1.019426042298932</v>
      </c>
      <c r="T254">
        <f t="shared" si="307"/>
        <v>2.3526546812400606</v>
      </c>
      <c r="V254" s="50" t="s">
        <v>155</v>
      </c>
      <c r="W254" s="50" t="s">
        <v>155</v>
      </c>
      <c r="X254" s="50" t="s">
        <v>155</v>
      </c>
      <c r="Y254" s="50" t="s">
        <v>155</v>
      </c>
      <c r="Z254" s="50" t="s">
        <v>155</v>
      </c>
    </row>
    <row r="255" spans="2:26" ht="13.5" customHeight="1">
      <c r="B255" s="110" t="s">
        <v>315</v>
      </c>
      <c r="C255" s="10">
        <v>470628.63</v>
      </c>
      <c r="D255" s="115">
        <v>590354.98</v>
      </c>
      <c r="E255" s="115">
        <v>540694.02</v>
      </c>
      <c r="F255" s="116">
        <v>377913.35</v>
      </c>
      <c r="G255" s="68">
        <f t="shared" si="313"/>
        <v>1979590.98</v>
      </c>
      <c r="H255" s="17"/>
      <c r="J255" s="96" t="str">
        <f>B255</f>
        <v>   01/17</v>
      </c>
      <c r="K255" s="29">
        <f t="shared" si="308"/>
        <v>1.0284217411563132</v>
      </c>
      <c r="L255" s="30">
        <f t="shared" si="303"/>
        <v>1.1380574444865088</v>
      </c>
      <c r="M255" s="29">
        <f t="shared" si="309"/>
        <v>0.9948362477287348</v>
      </c>
      <c r="N255" s="30">
        <f t="shared" si="304"/>
        <v>3.1674484594475905</v>
      </c>
      <c r="O255" s="29">
        <f t="shared" si="310"/>
        <v>1.0129695065828477</v>
      </c>
      <c r="P255" s="30">
        <f t="shared" si="305"/>
        <v>3.2211414155054072</v>
      </c>
      <c r="Q255" s="30">
        <f t="shared" si="311"/>
        <v>1.003045844556265</v>
      </c>
      <c r="R255" s="30">
        <f t="shared" si="306"/>
        <v>1.7453635389886717</v>
      </c>
      <c r="S255" s="29">
        <f t="shared" si="312"/>
        <v>1.0091826403624293</v>
      </c>
      <c r="T255" s="30">
        <f t="shared" si="307"/>
        <v>2.374258263074874</v>
      </c>
      <c r="V255" s="108">
        <f>K255-1</f>
        <v>0.02842174115631324</v>
      </c>
      <c r="W255" s="108">
        <f>M255-1</f>
        <v>-0.005163752271265198</v>
      </c>
      <c r="X255" s="108">
        <f>O255-1</f>
        <v>0.012969506582847679</v>
      </c>
      <c r="Y255" s="108">
        <f>Q255-1</f>
        <v>0.0030458445562651093</v>
      </c>
      <c r="Z255" s="108">
        <f>S255-1</f>
        <v>0.009182640362429328</v>
      </c>
    </row>
    <row r="256" spans="2:26" ht="13.5" customHeight="1">
      <c r="B256" s="110" t="s">
        <v>316</v>
      </c>
      <c r="C256" s="10">
        <v>486587.56</v>
      </c>
      <c r="D256" s="115">
        <v>594248.67</v>
      </c>
      <c r="E256" s="115">
        <v>560724.97</v>
      </c>
      <c r="F256" s="116">
        <v>380218.21</v>
      </c>
      <c r="G256" s="68">
        <f t="shared" si="313"/>
        <v>2021779.41</v>
      </c>
      <c r="H256" s="17"/>
      <c r="J256" s="96" t="str">
        <f aca="true" t="shared" si="314" ref="J256:J294">B256</f>
        <v>   02/17</v>
      </c>
      <c r="K256" s="29">
        <f t="shared" si="308"/>
        <v>1.0339098154738269</v>
      </c>
      <c r="L256" s="30">
        <f t="shared" si="303"/>
        <v>1.1766487624276614</v>
      </c>
      <c r="M256" s="29">
        <f t="shared" si="309"/>
        <v>1.0065955063172332</v>
      </c>
      <c r="N256" s="30">
        <f t="shared" si="304"/>
        <v>3.1883393857713873</v>
      </c>
      <c r="O256" s="29">
        <f t="shared" si="310"/>
        <v>1.0370467385601934</v>
      </c>
      <c r="P256" s="30">
        <f t="shared" si="305"/>
        <v>3.340474199391047</v>
      </c>
      <c r="Q256" s="30">
        <f t="shared" si="311"/>
        <v>1.006098911298053</v>
      </c>
      <c r="R256" s="30">
        <f t="shared" si="306"/>
        <v>1.7560083563958193</v>
      </c>
      <c r="S256" s="29">
        <f t="shared" si="312"/>
        <v>1.0213116903573687</v>
      </c>
      <c r="T256" s="30">
        <f t="shared" si="307"/>
        <v>2.42485772000595</v>
      </c>
      <c r="V256" s="108">
        <f>K256-1</f>
        <v>0.033909815473826876</v>
      </c>
      <c r="W256" s="108">
        <f>M256-1</f>
        <v>0.006595506317233157</v>
      </c>
      <c r="X256" s="108">
        <f>O256-1</f>
        <v>0.03704673856019336</v>
      </c>
      <c r="Y256" s="108">
        <f>Q256-1</f>
        <v>0.006098911298052956</v>
      </c>
      <c r="Z256" s="108">
        <f>S256-1</f>
        <v>0.021311690357368684</v>
      </c>
    </row>
    <row r="257" spans="2:26" ht="13.5" customHeight="1">
      <c r="B257" s="110" t="s">
        <v>317</v>
      </c>
      <c r="C257" s="10">
        <v>489914.1</v>
      </c>
      <c r="D257" s="115">
        <v>590137.31</v>
      </c>
      <c r="E257" s="115">
        <v>557252.57</v>
      </c>
      <c r="F257" s="116">
        <v>380003.09</v>
      </c>
      <c r="G257" s="68">
        <f t="shared" si="313"/>
        <v>2017307.07</v>
      </c>
      <c r="H257" s="17"/>
      <c r="J257" s="96" t="str">
        <f t="shared" si="314"/>
        <v>   03/17</v>
      </c>
      <c r="K257" s="29">
        <f t="shared" si="308"/>
        <v>1.0068364674181147</v>
      </c>
      <c r="L257" s="30">
        <f>K257*L256</f>
        <v>1.1846928833545631</v>
      </c>
      <c r="M257" s="29">
        <f t="shared" si="309"/>
        <v>0.9930814148898306</v>
      </c>
      <c r="N257" s="30">
        <f>M257*N256</f>
        <v>3.1662805883708227</v>
      </c>
      <c r="O257" s="29">
        <f t="shared" si="310"/>
        <v>0.993807302713842</v>
      </c>
      <c r="P257" s="30">
        <f>O257*P256</f>
        <v>3.3197876538819973</v>
      </c>
      <c r="Q257" s="30">
        <f t="shared" si="311"/>
        <v>0.9994342196287758</v>
      </c>
      <c r="R257" s="30">
        <f>Q257*R256</f>
        <v>1.755014841336065</v>
      </c>
      <c r="S257" s="29">
        <f t="shared" si="312"/>
        <v>0.9977879189105008</v>
      </c>
      <c r="T257" s="30">
        <f>S257*T256</f>
        <v>2.4194937380987986</v>
      </c>
      <c r="V257" s="108">
        <f>K257-1</f>
        <v>0.006836467418114722</v>
      </c>
      <c r="W257" s="108">
        <f>M257-1</f>
        <v>-0.006918585110169406</v>
      </c>
      <c r="X257" s="108">
        <f>O257-1</f>
        <v>-0.006192697286158011</v>
      </c>
      <c r="Y257" s="108">
        <f>Q257-1</f>
        <v>-0.0005657803712242337</v>
      </c>
      <c r="Z257" s="108">
        <f>S257-1</f>
        <v>-0.0022120810894992182</v>
      </c>
    </row>
    <row r="258" spans="2:26" ht="13.5" customHeight="1">
      <c r="B258" s="110" t="s">
        <v>318</v>
      </c>
      <c r="C258" s="10">
        <v>500333.43</v>
      </c>
      <c r="D258" s="115">
        <v>597630.37</v>
      </c>
      <c r="E258" s="115">
        <v>555696.29</v>
      </c>
      <c r="F258" s="116">
        <v>382185.92</v>
      </c>
      <c r="G258" s="68">
        <f t="shared" si="313"/>
        <v>2035846.01</v>
      </c>
      <c r="H258" s="17"/>
      <c r="J258" s="96" t="str">
        <f t="shared" si="314"/>
        <v>   04/17</v>
      </c>
      <c r="K258" s="29">
        <f t="shared" si="308"/>
        <v>1.0212676671277678</v>
      </c>
      <c r="L258" s="30">
        <f>K258*L257</f>
        <v>1.2098885372463835</v>
      </c>
      <c r="M258" s="29">
        <f t="shared" si="309"/>
        <v>1.0126971467030275</v>
      </c>
      <c r="N258" s="30">
        <f>M258*N257</f>
        <v>3.2064833175043153</v>
      </c>
      <c r="O258" s="29">
        <f t="shared" si="310"/>
        <v>0.9972072268773926</v>
      </c>
      <c r="P258" s="30">
        <f>O258*P257</f>
        <v>3.3105162401494717</v>
      </c>
      <c r="Q258" s="30">
        <f t="shared" si="311"/>
        <v>1.0057442427639205</v>
      </c>
      <c r="R258" s="30">
        <f>Q258*R257</f>
        <v>1.7650960726389826</v>
      </c>
      <c r="S258" s="29">
        <f t="shared" si="312"/>
        <v>1.0091899444936758</v>
      </c>
      <c r="T258" s="30">
        <f>S258*T257</f>
        <v>2.4417287512547228</v>
      </c>
      <c r="V258" s="108">
        <f>K258-1</f>
        <v>0.021267667127767842</v>
      </c>
      <c r="W258" s="108">
        <f>M258-1</f>
        <v>0.012697146703027462</v>
      </c>
      <c r="X258" s="108">
        <f>O258-1</f>
        <v>-0.002792773122607395</v>
      </c>
      <c r="Y258" s="108">
        <f>Q258-1</f>
        <v>0.005744242763920493</v>
      </c>
      <c r="Z258" s="108">
        <f>S258-1</f>
        <v>0.009189944493675828</v>
      </c>
    </row>
    <row r="259" spans="2:26" ht="13.5" customHeight="1">
      <c r="B259" s="110" t="s">
        <v>319</v>
      </c>
      <c r="C259" s="10">
        <v>-24500</v>
      </c>
      <c r="D259" s="115">
        <v>-29500</v>
      </c>
      <c r="E259" s="115">
        <v>-27900</v>
      </c>
      <c r="F259" s="116">
        <v>-19000</v>
      </c>
      <c r="G259" s="68">
        <f t="shared" si="313"/>
        <v>-100900</v>
      </c>
      <c r="H259" s="17"/>
      <c r="J259" s="96" t="str">
        <f t="shared" si="314"/>
        <v>   05/17 - withdrawal</v>
      </c>
      <c r="K259" s="29"/>
      <c r="L259" s="30"/>
      <c r="M259" s="29"/>
      <c r="N259" s="30"/>
      <c r="O259" s="29"/>
      <c r="P259" s="30"/>
      <c r="Q259" s="30"/>
      <c r="R259" s="30"/>
      <c r="S259" s="29"/>
      <c r="T259" s="30"/>
      <c r="V259" s="108" t="s">
        <v>155</v>
      </c>
      <c r="W259" s="108" t="s">
        <v>155</v>
      </c>
      <c r="X259" s="108" t="s">
        <v>155</v>
      </c>
      <c r="Y259" s="108" t="s">
        <v>155</v>
      </c>
      <c r="Z259" s="108" t="s">
        <v>155</v>
      </c>
    </row>
    <row r="260" spans="2:26" ht="12.75" customHeight="1">
      <c r="B260" s="110" t="s">
        <v>320</v>
      </c>
      <c r="C260" s="10">
        <f>C258+C259</f>
        <v>475833.43</v>
      </c>
      <c r="D260" s="10">
        <f>D258+D259</f>
        <v>568130.37</v>
      </c>
      <c r="E260" s="10">
        <f>E258+E259</f>
        <v>527796.29</v>
      </c>
      <c r="F260" s="10">
        <f>F258+F259</f>
        <v>363185.92</v>
      </c>
      <c r="G260" s="68">
        <f t="shared" si="313"/>
        <v>1934946.01</v>
      </c>
      <c r="H260" s="17"/>
      <c r="J260" s="96" t="str">
        <f t="shared" si="314"/>
        <v>   05/17 - after</v>
      </c>
      <c r="K260" s="29"/>
      <c r="L260" s="30"/>
      <c r="M260" s="29"/>
      <c r="N260" s="30"/>
      <c r="O260" s="29"/>
      <c r="P260" s="30"/>
      <c r="Q260" s="30"/>
      <c r="R260" s="30"/>
      <c r="S260" s="29"/>
      <c r="T260" s="30"/>
      <c r="V260" s="108" t="s">
        <v>155</v>
      </c>
      <c r="W260" s="108" t="s">
        <v>155</v>
      </c>
      <c r="X260" s="108" t="s">
        <v>155</v>
      </c>
      <c r="Y260" s="108" t="s">
        <v>155</v>
      </c>
      <c r="Z260" s="108" t="s">
        <v>155</v>
      </c>
    </row>
    <row r="261" spans="2:26" ht="13.5" customHeight="1">
      <c r="B261" s="110" t="s">
        <v>321</v>
      </c>
      <c r="C261" s="10">
        <v>481652.32</v>
      </c>
      <c r="D261" s="115">
        <v>558175.35</v>
      </c>
      <c r="E261" s="115">
        <v>518239.76</v>
      </c>
      <c r="F261" s="116">
        <v>365064.83</v>
      </c>
      <c r="G261" s="68">
        <f t="shared" si="313"/>
        <v>1923132.26</v>
      </c>
      <c r="H261" s="17"/>
      <c r="J261" s="96" t="str">
        <f t="shared" si="314"/>
        <v>   05/17</v>
      </c>
      <c r="K261" s="29">
        <f aca="true" t="shared" si="315" ref="K261:K271">C261/C260</f>
        <v>1.0122288381461555</v>
      </c>
      <c r="L261" s="30">
        <f>K261*L258</f>
        <v>1.2246840683432583</v>
      </c>
      <c r="M261" s="29">
        <f>D261/D260</f>
        <v>0.9824775781657298</v>
      </c>
      <c r="N261" s="30">
        <f>M261*N258</f>
        <v>3.1502979642104543</v>
      </c>
      <c r="O261" s="29">
        <f>E261/E260</f>
        <v>0.981893525625199</v>
      </c>
      <c r="P261" s="30">
        <f>O261*P258</f>
        <v>3.2505744626798427</v>
      </c>
      <c r="Q261" s="30">
        <f aca="true" t="shared" si="316" ref="Q261:Q294">F261/F260</f>
        <v>1.0051734109075594</v>
      </c>
      <c r="R261" s="30">
        <f>Q261*R258</f>
        <v>1.7742276399140633</v>
      </c>
      <c r="S261" s="29">
        <f aca="true" t="shared" si="317" ref="S261:S294">G261/G260</f>
        <v>0.9938945324887902</v>
      </c>
      <c r="T261" s="30">
        <f>S261*T258</f>
        <v>2.42682085569275</v>
      </c>
      <c r="V261" s="108">
        <f aca="true" t="shared" si="318" ref="V261:V267">K261-1</f>
        <v>0.012228838146155496</v>
      </c>
      <c r="W261" s="108">
        <f aca="true" t="shared" si="319" ref="W261:W267">M261-1</f>
        <v>-0.01752242183427022</v>
      </c>
      <c r="X261" s="108">
        <f aca="true" t="shared" si="320" ref="X261:X267">O261-1</f>
        <v>-0.01810647437480095</v>
      </c>
      <c r="Y261" s="108">
        <f aca="true" t="shared" si="321" ref="Y261:Y267">Q261-1</f>
        <v>0.005173410907559406</v>
      </c>
      <c r="Z261" s="108">
        <f aca="true" t="shared" si="322" ref="Z261:Z267">S261-1</f>
        <v>-0.006105467511209772</v>
      </c>
    </row>
    <row r="262" spans="2:26" ht="13.5" customHeight="1">
      <c r="B262" s="110" t="s">
        <v>322</v>
      </c>
      <c r="C262" s="10">
        <v>482611.14</v>
      </c>
      <c r="D262" s="115">
        <v>573165.03</v>
      </c>
      <c r="E262" s="115">
        <v>533687.38</v>
      </c>
      <c r="F262" s="116">
        <v>364817.8</v>
      </c>
      <c r="G262" s="68">
        <f t="shared" si="313"/>
        <v>1954281.3499999999</v>
      </c>
      <c r="H262" s="17"/>
      <c r="J262" s="96" t="str">
        <f t="shared" si="314"/>
        <v>   06/17</v>
      </c>
      <c r="K262" s="29">
        <f t="shared" si="315"/>
        <v>1.0019906890513888</v>
      </c>
      <c r="L262" s="30">
        <f aca="true" t="shared" si="323" ref="L262:L271">K262*L261</f>
        <v>1.2271220335095194</v>
      </c>
      <c r="M262" s="29">
        <f>D262/D261</f>
        <v>1.026854786761902</v>
      </c>
      <c r="N262" s="30">
        <f aca="true" t="shared" si="324" ref="N262:N271">M262*N261</f>
        <v>3.23489854427578</v>
      </c>
      <c r="O262" s="29">
        <f aca="true" t="shared" si="325" ref="O262:O294">E262/E261</f>
        <v>1.0298078634491494</v>
      </c>
      <c r="P262" s="30">
        <f aca="true" t="shared" si="326" ref="P262:P271">O262*P261</f>
        <v>3.3474671423946956</v>
      </c>
      <c r="Q262" s="30">
        <f t="shared" si="316"/>
        <v>0.9993233256679368</v>
      </c>
      <c r="R262" s="30">
        <f aca="true" t="shared" si="327" ref="R262:R271">Q262*R261</f>
        <v>1.7730270656108964</v>
      </c>
      <c r="S262" s="29">
        <f t="shared" si="317"/>
        <v>1.0161970607263382</v>
      </c>
      <c r="T262" s="30">
        <f aca="true" t="shared" si="328" ref="T262:T271">S262*T261</f>
        <v>2.4661282204643498</v>
      </c>
      <c r="V262" s="108">
        <f t="shared" si="318"/>
        <v>0.001990689051388772</v>
      </c>
      <c r="W262" s="108">
        <f t="shared" si="319"/>
        <v>0.026854786761902005</v>
      </c>
      <c r="X262" s="108">
        <f t="shared" si="320"/>
        <v>0.02980786344914943</v>
      </c>
      <c r="Y262" s="108">
        <f t="shared" si="321"/>
        <v>-0.0006766743320631985</v>
      </c>
      <c r="Z262" s="108">
        <f t="shared" si="322"/>
        <v>0.016197060726338197</v>
      </c>
    </row>
    <row r="263" spans="2:26" ht="13.5" customHeight="1">
      <c r="B263" s="110" t="s">
        <v>323</v>
      </c>
      <c r="C263" s="10">
        <v>498314.7</v>
      </c>
      <c r="D263" s="115">
        <v>573446.27</v>
      </c>
      <c r="E263" s="115">
        <v>543593.37</v>
      </c>
      <c r="F263" s="116">
        <v>366690.99</v>
      </c>
      <c r="G263" s="68">
        <f t="shared" si="313"/>
        <v>1982045.3299999998</v>
      </c>
      <c r="H263" s="17"/>
      <c r="J263" s="96" t="str">
        <f t="shared" si="314"/>
        <v>   07/17</v>
      </c>
      <c r="K263" s="29">
        <f t="shared" si="315"/>
        <v>1.0325387433037705</v>
      </c>
      <c r="L263" s="30">
        <f t="shared" si="323"/>
        <v>1.2670510423602865</v>
      </c>
      <c r="M263" s="29">
        <f>D263/D262</f>
        <v>1.00049067892366</v>
      </c>
      <c r="N263" s="30">
        <f t="shared" si="324"/>
        <v>3.2364858408116346</v>
      </c>
      <c r="O263" s="29">
        <f t="shared" si="325"/>
        <v>1.0185614094903275</v>
      </c>
      <c r="P263" s="30">
        <f t="shared" si="326"/>
        <v>3.4096008507801</v>
      </c>
      <c r="Q263" s="30">
        <f t="shared" si="316"/>
        <v>1.005134590472285</v>
      </c>
      <c r="R263" s="30">
        <f t="shared" si="327"/>
        <v>1.7821308334890855</v>
      </c>
      <c r="S263" s="29">
        <f t="shared" si="317"/>
        <v>1.0142067466386044</v>
      </c>
      <c r="T263" s="30">
        <f t="shared" si="328"/>
        <v>2.5011638792707993</v>
      </c>
      <c r="V263" s="108">
        <f t="shared" si="318"/>
        <v>0.03253874330377049</v>
      </c>
      <c r="W263" s="108">
        <f t="shared" si="319"/>
        <v>0.0004906789236600595</v>
      </c>
      <c r="X263" s="108">
        <f t="shared" si="320"/>
        <v>0.018561409490327474</v>
      </c>
      <c r="Y263" s="108">
        <f t="shared" si="321"/>
        <v>0.005134590472285039</v>
      </c>
      <c r="Z263" s="108">
        <f t="shared" si="322"/>
        <v>0.01420674663860444</v>
      </c>
    </row>
    <row r="264" spans="2:26" ht="13.5" customHeight="1">
      <c r="B264" s="110" t="s">
        <v>324</v>
      </c>
      <c r="C264" s="10">
        <v>507647.12</v>
      </c>
      <c r="D264" s="115">
        <v>555829.36</v>
      </c>
      <c r="E264" s="115">
        <v>539676.47</v>
      </c>
      <c r="F264" s="116">
        <v>369193.6</v>
      </c>
      <c r="G264" s="68">
        <f t="shared" si="313"/>
        <v>1972346.5499999998</v>
      </c>
      <c r="H264" s="17"/>
      <c r="J264" s="96" t="str">
        <f t="shared" si="314"/>
        <v>   08/17</v>
      </c>
      <c r="K264" s="29">
        <f t="shared" si="315"/>
        <v>1.0187279644770664</v>
      </c>
      <c r="L264" s="30">
        <f t="shared" si="323"/>
        <v>1.29078032927224</v>
      </c>
      <c r="M264" s="29">
        <f>D264/D263</f>
        <v>0.9692788829195802</v>
      </c>
      <c r="N264" s="30">
        <f t="shared" si="324"/>
        <v>3.1370573803669393</v>
      </c>
      <c r="O264" s="29">
        <f t="shared" si="325"/>
        <v>0.9927944301454596</v>
      </c>
      <c r="P264" s="30">
        <f t="shared" si="326"/>
        <v>3.385032733673704</v>
      </c>
      <c r="Q264" s="30">
        <f t="shared" si="316"/>
        <v>1.00682484726445</v>
      </c>
      <c r="R264" s="30">
        <f t="shared" si="327"/>
        <v>1.7942936042329156</v>
      </c>
      <c r="S264" s="29">
        <f t="shared" si="317"/>
        <v>0.9951066810364019</v>
      </c>
      <c r="T264" s="30">
        <f t="shared" si="328"/>
        <v>2.488924886629297</v>
      </c>
      <c r="V264" s="108">
        <f t="shared" si="318"/>
        <v>0.018727964477066372</v>
      </c>
      <c r="W264" s="108">
        <f t="shared" si="319"/>
        <v>-0.030721117080419802</v>
      </c>
      <c r="X264" s="108">
        <f t="shared" si="320"/>
        <v>-0.00720556985454035</v>
      </c>
      <c r="Y264" s="108">
        <f t="shared" si="321"/>
        <v>0.006824847264450096</v>
      </c>
      <c r="Z264" s="108">
        <f t="shared" si="322"/>
        <v>-0.004893318963598126</v>
      </c>
    </row>
    <row r="265" spans="2:26" ht="13.5" customHeight="1">
      <c r="B265" s="110" t="s">
        <v>325</v>
      </c>
      <c r="C265" s="10">
        <v>510205.93</v>
      </c>
      <c r="D265" s="115">
        <v>593230.09</v>
      </c>
      <c r="E265" s="115">
        <v>549987.99</v>
      </c>
      <c r="F265" s="116">
        <v>368122.44</v>
      </c>
      <c r="G265" s="68">
        <f t="shared" si="313"/>
        <v>2021546.45</v>
      </c>
      <c r="H265" s="17"/>
      <c r="J265" s="96" t="str">
        <f t="shared" si="314"/>
        <v>   09/17</v>
      </c>
      <c r="K265" s="29">
        <f t="shared" si="315"/>
        <v>1.0050405289406548</v>
      </c>
      <c r="L265" s="30">
        <f t="shared" si="323"/>
        <v>1.2972865448779645</v>
      </c>
      <c r="M265" s="29">
        <f>D265/D264</f>
        <v>1.0672881511692724</v>
      </c>
      <c r="N265" s="30">
        <f t="shared" si="324"/>
        <v>3.3481441716037517</v>
      </c>
      <c r="O265" s="29">
        <f t="shared" si="325"/>
        <v>1.0191068548903013</v>
      </c>
      <c r="P265" s="30">
        <f t="shared" si="326"/>
        <v>3.449710062914927</v>
      </c>
      <c r="Q265" s="30">
        <f t="shared" si="316"/>
        <v>0.9970986495973929</v>
      </c>
      <c r="R265" s="30">
        <f t="shared" si="327"/>
        <v>1.7890877297618792</v>
      </c>
      <c r="S265" s="29">
        <f t="shared" si="317"/>
        <v>1.0249448556593668</v>
      </c>
      <c r="T265" s="30">
        <f t="shared" si="328"/>
        <v>2.5510107586732707</v>
      </c>
      <c r="V265" s="108">
        <f t="shared" si="318"/>
        <v>0.005040528940654765</v>
      </c>
      <c r="W265" s="108">
        <f t="shared" si="319"/>
        <v>0.06728815116927245</v>
      </c>
      <c r="X265" s="108">
        <f t="shared" si="320"/>
        <v>0.019106854890301284</v>
      </c>
      <c r="Y265" s="108">
        <f t="shared" si="321"/>
        <v>-0.0029013504026070835</v>
      </c>
      <c r="Z265" s="108">
        <f t="shared" si="322"/>
        <v>0.02494485565936677</v>
      </c>
    </row>
    <row r="266" spans="2:26" ht="13.5" customHeight="1">
      <c r="B266" s="110" t="s">
        <v>326</v>
      </c>
      <c r="C266" s="10">
        <v>531809.48</v>
      </c>
      <c r="D266" s="115">
        <v>602664.02</v>
      </c>
      <c r="E266" s="115">
        <v>553399.79</v>
      </c>
      <c r="F266" s="116">
        <v>368298.44</v>
      </c>
      <c r="G266" s="68">
        <f t="shared" si="313"/>
        <v>2056171.73</v>
      </c>
      <c r="H266" s="17"/>
      <c r="J266" s="96" t="str">
        <f t="shared" si="314"/>
        <v>   10/17</v>
      </c>
      <c r="K266" s="29">
        <f t="shared" si="315"/>
        <v>1.0423428046004874</v>
      </c>
      <c r="L266" s="30">
        <f t="shared" si="323"/>
        <v>1.3522172955585736</v>
      </c>
      <c r="M266" s="29">
        <f aca="true" t="shared" si="329" ref="M266:M271">D266/D265</f>
        <v>1.0159026491727687</v>
      </c>
      <c r="N266" s="30">
        <f t="shared" si="324"/>
        <v>3.4013885337446164</v>
      </c>
      <c r="O266" s="29">
        <f t="shared" si="325"/>
        <v>1.0062034081871498</v>
      </c>
      <c r="P266" s="30">
        <f t="shared" si="326"/>
        <v>3.4711100225625064</v>
      </c>
      <c r="Q266" s="30">
        <f t="shared" si="316"/>
        <v>1.0004781017967825</v>
      </c>
      <c r="R266" s="30">
        <f t="shared" si="327"/>
        <v>1.78994309582008</v>
      </c>
      <c r="S266" s="29">
        <f t="shared" si="317"/>
        <v>1.0171281149636706</v>
      </c>
      <c r="T266" s="30">
        <f t="shared" si="328"/>
        <v>2.594704764221387</v>
      </c>
      <c r="V266" s="108">
        <f t="shared" si="318"/>
        <v>0.04234280460048745</v>
      </c>
      <c r="W266" s="108">
        <f t="shared" si="319"/>
        <v>0.015902649172768735</v>
      </c>
      <c r="X266" s="108">
        <f t="shared" si="320"/>
        <v>0.006203408187149817</v>
      </c>
      <c r="Y266" s="108">
        <f t="shared" si="321"/>
        <v>0.0004781017967825374</v>
      </c>
      <c r="Z266" s="108">
        <f t="shared" si="322"/>
        <v>0.017128114963670615</v>
      </c>
    </row>
    <row r="267" spans="2:26" ht="13.5" customHeight="1">
      <c r="B267" s="110" t="s">
        <v>327</v>
      </c>
      <c r="C267" s="10">
        <v>550849.9</v>
      </c>
      <c r="D267" s="115">
        <v>627385.44</v>
      </c>
      <c r="E267" s="115">
        <v>565739.79</v>
      </c>
      <c r="F267" s="116">
        <v>367754.59</v>
      </c>
      <c r="G267" s="68">
        <f t="shared" si="313"/>
        <v>2111729.7199999997</v>
      </c>
      <c r="H267" s="17"/>
      <c r="J267" s="96" t="str">
        <f t="shared" si="314"/>
        <v>   11/17</v>
      </c>
      <c r="K267" s="29">
        <f t="shared" si="315"/>
        <v>1.035803084969452</v>
      </c>
      <c r="L267" s="30">
        <f t="shared" si="323"/>
        <v>1.4006308462886197</v>
      </c>
      <c r="M267" s="29">
        <f t="shared" si="329"/>
        <v>1.04102023545391</v>
      </c>
      <c r="N267" s="30">
        <f t="shared" si="324"/>
        <v>3.54091429226905</v>
      </c>
      <c r="O267" s="29">
        <f t="shared" si="325"/>
        <v>1.0222985267124876</v>
      </c>
      <c r="P267" s="30">
        <f t="shared" si="326"/>
        <v>3.5485106621225997</v>
      </c>
      <c r="Q267" s="30">
        <f t="shared" si="316"/>
        <v>0.9985233442748224</v>
      </c>
      <c r="R267" s="30">
        <f t="shared" si="327"/>
        <v>1.787299966099895</v>
      </c>
      <c r="S267" s="29">
        <f t="shared" si="317"/>
        <v>1.0270201117880362</v>
      </c>
      <c r="T267" s="30">
        <f t="shared" si="328"/>
        <v>2.6648139770075994</v>
      </c>
      <c r="V267" s="108">
        <f t="shared" si="318"/>
        <v>0.03580308496945195</v>
      </c>
      <c r="W267" s="108">
        <f t="shared" si="319"/>
        <v>0.04102023545390998</v>
      </c>
      <c r="X267" s="108">
        <f t="shared" si="320"/>
        <v>0.022298526712487554</v>
      </c>
      <c r="Y267" s="108">
        <f t="shared" si="321"/>
        <v>-0.0014766557251776335</v>
      </c>
      <c r="Z267" s="108">
        <f t="shared" si="322"/>
        <v>0.027020111788036205</v>
      </c>
    </row>
    <row r="268" spans="2:26" ht="13.5" customHeight="1">
      <c r="B268" s="110" t="s">
        <v>328</v>
      </c>
      <c r="C268" s="10">
        <v>553437.21</v>
      </c>
      <c r="D268" s="115">
        <v>623752.49</v>
      </c>
      <c r="E268" s="115">
        <v>568728.5</v>
      </c>
      <c r="F268" s="116">
        <v>369650.48</v>
      </c>
      <c r="G268" s="68">
        <f>SUM(C268:F268)</f>
        <v>2115568.6799999997</v>
      </c>
      <c r="H268" s="17"/>
      <c r="J268" s="96" t="str">
        <f t="shared" si="314"/>
        <v>   12/17</v>
      </c>
      <c r="K268" s="29">
        <f t="shared" si="315"/>
        <v>1.0046969419437126</v>
      </c>
      <c r="L268" s="30">
        <f t="shared" si="323"/>
        <v>1.4072095280582104</v>
      </c>
      <c r="M268" s="29">
        <f t="shared" si="329"/>
        <v>0.9942093810784006</v>
      </c>
      <c r="N268" s="30">
        <f t="shared" si="324"/>
        <v>3.5204102069684753</v>
      </c>
      <c r="O268" s="29">
        <f t="shared" si="325"/>
        <v>1.005282835064509</v>
      </c>
      <c r="P268" s="30">
        <f t="shared" si="326"/>
        <v>3.5672568586752456</v>
      </c>
      <c r="Q268" s="30">
        <f t="shared" si="316"/>
        <v>1.005155312949323</v>
      </c>
      <c r="R268" s="30">
        <f t="shared" si="327"/>
        <v>1.7965140567594542</v>
      </c>
      <c r="S268" s="29">
        <f t="shared" si="317"/>
        <v>1.001817922039758</v>
      </c>
      <c r="T268" s="30">
        <f t="shared" si="328"/>
        <v>2.669658401068257</v>
      </c>
      <c r="V268" s="108"/>
      <c r="W268" s="108"/>
      <c r="X268" s="108"/>
      <c r="Y268" s="108"/>
      <c r="Z268" s="108"/>
    </row>
    <row r="269" spans="2:26" ht="13.5" customHeight="1">
      <c r="B269" s="110" t="s">
        <v>329</v>
      </c>
      <c r="C269" s="10">
        <v>580173.49</v>
      </c>
      <c r="D269" s="115">
        <v>635004.51</v>
      </c>
      <c r="E269" s="115">
        <v>594928.22</v>
      </c>
      <c r="F269" s="116">
        <v>369650.48</v>
      </c>
      <c r="G269" s="68">
        <f>SUM(C269:F269)</f>
        <v>2179756.7</v>
      </c>
      <c r="H269" s="17"/>
      <c r="J269" s="96" t="str">
        <f t="shared" si="314"/>
        <v>   01/18</v>
      </c>
      <c r="K269" s="29">
        <f t="shared" si="315"/>
        <v>1.0483095092214707</v>
      </c>
      <c r="L269" s="30">
        <f t="shared" si="323"/>
        <v>1.47519112973048</v>
      </c>
      <c r="M269" s="29">
        <f t="shared" si="329"/>
        <v>1.0180392386088912</v>
      </c>
      <c r="N269" s="30">
        <f t="shared" si="324"/>
        <v>3.5839157266931556</v>
      </c>
      <c r="O269" s="29">
        <f t="shared" si="325"/>
        <v>1.0460671831990132</v>
      </c>
      <c r="P269" s="30">
        <f t="shared" si="326"/>
        <v>3.7315903339017744</v>
      </c>
      <c r="Q269" s="30">
        <f t="shared" si="316"/>
        <v>1</v>
      </c>
      <c r="R269" s="30">
        <f t="shared" si="327"/>
        <v>1.7965140567594542</v>
      </c>
      <c r="S269" s="29">
        <f t="shared" si="317"/>
        <v>1.030340787612719</v>
      </c>
      <c r="T269" s="30">
        <f t="shared" si="328"/>
        <v>2.75065793961358</v>
      </c>
      <c r="V269" s="108"/>
      <c r="W269" s="108"/>
      <c r="X269" s="108"/>
      <c r="Y269" s="108"/>
      <c r="Z269" s="108"/>
    </row>
    <row r="270" spans="2:26" ht="13.5" customHeight="1">
      <c r="B270" s="110" t="s">
        <v>330</v>
      </c>
      <c r="C270" s="10">
        <v>565774.37</v>
      </c>
      <c r="D270" s="115">
        <v>611722.03</v>
      </c>
      <c r="E270" s="115">
        <v>567146.37</v>
      </c>
      <c r="F270" s="116">
        <v>363679.76</v>
      </c>
      <c r="G270" s="68">
        <f>SUM(C270:F270)</f>
        <v>2108322.5300000003</v>
      </c>
      <c r="H270" s="17"/>
      <c r="J270" s="96" t="str">
        <f t="shared" si="314"/>
        <v>   02/18</v>
      </c>
      <c r="K270" s="29">
        <f t="shared" si="315"/>
        <v>0.9751813548047499</v>
      </c>
      <c r="L270" s="30">
        <f t="shared" si="323"/>
        <v>1.438578884486519</v>
      </c>
      <c r="M270" s="29">
        <f t="shared" si="329"/>
        <v>0.963334937573908</v>
      </c>
      <c r="N270" s="30">
        <f t="shared" si="324"/>
        <v>3.452511232844098</v>
      </c>
      <c r="O270" s="29">
        <f t="shared" si="325"/>
        <v>0.9533021815640214</v>
      </c>
      <c r="P270" s="30">
        <f t="shared" si="326"/>
        <v>3.5573332060117764</v>
      </c>
      <c r="Q270" s="30">
        <f t="shared" si="316"/>
        <v>0.9838476606333638</v>
      </c>
      <c r="R270" s="30">
        <f t="shared" si="327"/>
        <v>1.7674961520377432</v>
      </c>
      <c r="S270" s="29">
        <f t="shared" si="317"/>
        <v>0.9672283746163047</v>
      </c>
      <c r="T270" s="30">
        <f t="shared" si="328"/>
        <v>2.660514408057877</v>
      </c>
      <c r="V270" s="108"/>
      <c r="W270" s="108"/>
      <c r="X270" s="108"/>
      <c r="Y270" s="108"/>
      <c r="Z270" s="108"/>
    </row>
    <row r="271" spans="2:26" ht="13.5" customHeight="1">
      <c r="B271" s="110" t="s">
        <v>331</v>
      </c>
      <c r="C271" s="10">
        <v>549421.1</v>
      </c>
      <c r="D271" s="115">
        <v>625014.83</v>
      </c>
      <c r="E271" s="115">
        <v>547701.94</v>
      </c>
      <c r="F271" s="116">
        <v>365496.17</v>
      </c>
      <c r="G271" s="68">
        <f>SUM(C271:F271)</f>
        <v>2087634.0399999998</v>
      </c>
      <c r="H271" s="17"/>
      <c r="J271" s="96" t="str">
        <f t="shared" si="314"/>
        <v>   03/18</v>
      </c>
      <c r="K271" s="29">
        <f t="shared" si="315"/>
        <v>0.9710957744515716</v>
      </c>
      <c r="L271" s="30">
        <f t="shared" si="323"/>
        <v>1.396997875940114</v>
      </c>
      <c r="M271" s="29">
        <f t="shared" si="329"/>
        <v>1.0217301312493192</v>
      </c>
      <c r="N271" s="30">
        <f t="shared" si="324"/>
        <v>3.527534755073549</v>
      </c>
      <c r="O271" s="29">
        <f t="shared" si="325"/>
        <v>0.9657153231889679</v>
      </c>
      <c r="P271" s="30">
        <f t="shared" si="326"/>
        <v>3.43537118673451</v>
      </c>
      <c r="Q271" s="30">
        <f t="shared" si="316"/>
        <v>1.0049945314526163</v>
      </c>
      <c r="R271" s="30">
        <f t="shared" si="327"/>
        <v>1.7763239671614741</v>
      </c>
      <c r="S271" s="29">
        <f t="shared" si="317"/>
        <v>0.9901872271886216</v>
      </c>
      <c r="T271" s="30">
        <f t="shared" si="328"/>
        <v>2.6344073846102063</v>
      </c>
      <c r="V271" s="108"/>
      <c r="W271" s="108"/>
      <c r="X271" s="108"/>
      <c r="Y271" s="108"/>
      <c r="Z271" s="108"/>
    </row>
    <row r="272" spans="2:26" ht="13.5" customHeight="1">
      <c r="B272" s="110" t="s">
        <v>337</v>
      </c>
      <c r="C272" s="10">
        <v>260000</v>
      </c>
      <c r="D272" s="115">
        <v>-626384.21</v>
      </c>
      <c r="E272" s="115">
        <v>260000</v>
      </c>
      <c r="F272" s="116">
        <v>106384.21</v>
      </c>
      <c r="G272" s="68">
        <f>SUM(C272:F272)</f>
        <v>0</v>
      </c>
      <c r="H272" s="17"/>
      <c r="J272" s="96" t="str">
        <f t="shared" si="314"/>
        <v>04/11/18 - transfer</v>
      </c>
      <c r="K272" s="29" t="s">
        <v>155</v>
      </c>
      <c r="L272" s="30" t="s">
        <v>155</v>
      </c>
      <c r="M272" s="29" t="s">
        <v>155</v>
      </c>
      <c r="N272" s="30" t="s">
        <v>155</v>
      </c>
      <c r="O272" s="29" t="s">
        <v>155</v>
      </c>
      <c r="P272" s="30" t="s">
        <v>155</v>
      </c>
      <c r="Q272" s="30" t="s">
        <v>155</v>
      </c>
      <c r="R272" s="30" t="s">
        <v>155</v>
      </c>
      <c r="S272" s="29" t="s">
        <v>155</v>
      </c>
      <c r="T272" s="30" t="s">
        <v>155</v>
      </c>
      <c r="V272" s="108"/>
      <c r="W272" s="108"/>
      <c r="X272" s="108"/>
      <c r="Y272" s="108"/>
      <c r="Z272" s="108"/>
    </row>
    <row r="273" spans="2:26" ht="13.5" customHeight="1">
      <c r="B273" s="110" t="s">
        <v>338</v>
      </c>
      <c r="C273" s="10">
        <f>C271+C272</f>
        <v>809421.1</v>
      </c>
      <c r="D273" s="10">
        <v>0</v>
      </c>
      <c r="E273" s="10">
        <f>E271+E272</f>
        <v>807701.94</v>
      </c>
      <c r="F273" s="10">
        <f>F271+F272</f>
        <v>471880.38</v>
      </c>
      <c r="G273" s="68">
        <f aca="true" t="shared" si="330" ref="G273:G294">SUM(C273:F273)</f>
        <v>2089003.42</v>
      </c>
      <c r="H273" s="17"/>
      <c r="J273" s="96" t="str">
        <f t="shared" si="314"/>
        <v>04/11/18 - after</v>
      </c>
      <c r="K273" s="29" t="s">
        <v>155</v>
      </c>
      <c r="L273" s="30" t="s">
        <v>155</v>
      </c>
      <c r="M273" s="29" t="s">
        <v>155</v>
      </c>
      <c r="N273" s="30" t="s">
        <v>155</v>
      </c>
      <c r="O273" s="29" t="s">
        <v>155</v>
      </c>
      <c r="P273" s="30" t="s">
        <v>155</v>
      </c>
      <c r="Q273" s="30" t="s">
        <v>155</v>
      </c>
      <c r="R273" s="30" t="s">
        <v>155</v>
      </c>
      <c r="S273" s="29" t="s">
        <v>155</v>
      </c>
      <c r="T273" s="30" t="s">
        <v>155</v>
      </c>
      <c r="V273" s="108"/>
      <c r="W273" s="108"/>
      <c r="X273" s="108"/>
      <c r="Y273" s="108"/>
      <c r="Z273" s="108"/>
    </row>
    <row r="274" spans="2:26" ht="13.5" customHeight="1">
      <c r="B274" s="110" t="s">
        <v>332</v>
      </c>
      <c r="C274" s="10">
        <v>812711.51</v>
      </c>
      <c r="D274" s="115">
        <v>0</v>
      </c>
      <c r="E274" s="115">
        <v>801519.41</v>
      </c>
      <c r="F274" s="116">
        <v>470004.86</v>
      </c>
      <c r="G274" s="68">
        <f t="shared" si="330"/>
        <v>2084235.7799999998</v>
      </c>
      <c r="H274" s="17"/>
      <c r="J274" s="96" t="str">
        <f t="shared" si="314"/>
        <v>   04/18</v>
      </c>
      <c r="K274" s="29">
        <f aca="true" t="shared" si="331" ref="K274:K279">C274/C273</f>
        <v>1.0040651398882485</v>
      </c>
      <c r="L274" s="30">
        <f>K274*L271</f>
        <v>1.4026768677293966</v>
      </c>
      <c r="M274" s="118" t="s">
        <v>339</v>
      </c>
      <c r="N274" s="118" t="s">
        <v>339</v>
      </c>
      <c r="O274" s="29">
        <f t="shared" si="325"/>
        <v>0.9923455303326374</v>
      </c>
      <c r="P274" s="30">
        <f>O274*P271</f>
        <v>3.409075242189519</v>
      </c>
      <c r="Q274" s="30">
        <f t="shared" si="316"/>
        <v>0.9960254333947938</v>
      </c>
      <c r="R274" s="30">
        <f>Q274*R271</f>
        <v>1.7692638492415667</v>
      </c>
      <c r="S274" s="29">
        <f t="shared" si="317"/>
        <v>0.9977177442821036</v>
      </c>
      <c r="T274" s="30">
        <f>S274*T271</f>
        <v>2.628394993293411</v>
      </c>
      <c r="V274" s="108"/>
      <c r="W274" s="108"/>
      <c r="X274" s="108"/>
      <c r="Y274" s="108"/>
      <c r="Z274" s="108"/>
    </row>
    <row r="275" spans="2:26" ht="13.5" customHeight="1">
      <c r="B275" s="110" t="s">
        <v>333</v>
      </c>
      <c r="C275" s="10">
        <v>845859.49</v>
      </c>
      <c r="D275" s="115">
        <v>0</v>
      </c>
      <c r="E275" s="115">
        <v>815212.97</v>
      </c>
      <c r="F275" s="116">
        <v>471633.59</v>
      </c>
      <c r="G275" s="68">
        <f t="shared" si="330"/>
        <v>2132706.05</v>
      </c>
      <c r="H275" s="17"/>
      <c r="J275" s="96" t="str">
        <f t="shared" si="314"/>
        <v>   05/18</v>
      </c>
      <c r="K275" s="29">
        <f t="shared" si="331"/>
        <v>1.0407868962013347</v>
      </c>
      <c r="L275" s="30">
        <f>K275*L274</f>
        <v>1.4598877035374889</v>
      </c>
      <c r="M275" s="118" t="s">
        <v>339</v>
      </c>
      <c r="N275" s="118" t="s">
        <v>339</v>
      </c>
      <c r="O275" s="29">
        <f t="shared" si="325"/>
        <v>1.017084502045933</v>
      </c>
      <c r="P275" s="30">
        <f>O275*P274</f>
        <v>3.4673175951394453</v>
      </c>
      <c r="Q275" s="30">
        <f t="shared" si="316"/>
        <v>1.0034653471455595</v>
      </c>
      <c r="R275" s="30">
        <f>Q275*R274</f>
        <v>1.7753949626712775</v>
      </c>
      <c r="S275" s="29">
        <f t="shared" si="317"/>
        <v>1.0232556558452326</v>
      </c>
      <c r="T275" s="30">
        <f>S275*T274</f>
        <v>2.689520042682775</v>
      </c>
      <c r="V275" s="108"/>
      <c r="W275" s="108"/>
      <c r="X275" s="108"/>
      <c r="Y275" s="108"/>
      <c r="Z275" s="108"/>
    </row>
    <row r="276" spans="2:26" ht="13.5" customHeight="1">
      <c r="B276" s="110" t="s">
        <v>334</v>
      </c>
      <c r="C276" s="10">
        <v>854021.16</v>
      </c>
      <c r="D276" s="115">
        <v>0</v>
      </c>
      <c r="E276" s="115">
        <v>814294.93</v>
      </c>
      <c r="F276" s="116">
        <v>471364.91</v>
      </c>
      <c r="G276" s="68">
        <f t="shared" si="330"/>
        <v>2139681</v>
      </c>
      <c r="H276" s="17"/>
      <c r="J276" s="96" t="str">
        <f t="shared" si="314"/>
        <v>   06/18</v>
      </c>
      <c r="K276" s="29">
        <f t="shared" si="331"/>
        <v>1.0096489666386554</v>
      </c>
      <c r="L276" s="30">
        <f>K276*L275</f>
        <v>1.4739741112851055</v>
      </c>
      <c r="M276" s="118" t="s">
        <v>339</v>
      </c>
      <c r="N276" s="118" t="s">
        <v>339</v>
      </c>
      <c r="O276" s="29">
        <f t="shared" si="325"/>
        <v>0.9988738648257769</v>
      </c>
      <c r="P276" s="30">
        <f>O276*P275</f>
        <v>3.463412926835356</v>
      </c>
      <c r="Q276" s="30">
        <f t="shared" si="316"/>
        <v>0.9994303204739933</v>
      </c>
      <c r="R276" s="30">
        <f>Q276*R275</f>
        <v>1.7743835565104682</v>
      </c>
      <c r="S276" s="29">
        <f t="shared" si="317"/>
        <v>1.0032704694582735</v>
      </c>
      <c r="T276" s="30">
        <f>S276*T275</f>
        <v>2.6983160358397833</v>
      </c>
      <c r="V276" s="108"/>
      <c r="W276" s="108"/>
      <c r="X276" s="108"/>
      <c r="Y276" s="108"/>
      <c r="Z276" s="108"/>
    </row>
    <row r="277" spans="2:26" ht="13.5" customHeight="1">
      <c r="B277" s="110" t="s">
        <v>335</v>
      </c>
      <c r="C277" s="10">
        <v>857723.39</v>
      </c>
      <c r="D277" s="115">
        <v>0</v>
      </c>
      <c r="E277" s="115">
        <v>847785.19</v>
      </c>
      <c r="F277" s="116">
        <v>471959.92</v>
      </c>
      <c r="G277" s="68">
        <f t="shared" si="330"/>
        <v>2177468.5</v>
      </c>
      <c r="H277" s="17"/>
      <c r="J277" s="96" t="str">
        <f t="shared" si="314"/>
        <v>   07/18</v>
      </c>
      <c r="K277" s="29">
        <f t="shared" si="331"/>
        <v>1.0043350565224871</v>
      </c>
      <c r="L277" s="30">
        <f>K277*L276</f>
        <v>1.480363872370209</v>
      </c>
      <c r="M277" s="118" t="s">
        <v>339</v>
      </c>
      <c r="N277" s="118" t="s">
        <v>339</v>
      </c>
      <c r="O277" s="29">
        <f t="shared" si="325"/>
        <v>1.0411279240066003</v>
      </c>
      <c r="P277" s="30">
        <f>O277*P276</f>
        <v>3.6058559104937173</v>
      </c>
      <c r="Q277" s="30">
        <f t="shared" si="316"/>
        <v>1.0012623128862095</v>
      </c>
      <c r="R277" s="30">
        <f>Q277*R276</f>
        <v>1.7766233837389296</v>
      </c>
      <c r="S277" s="29">
        <f t="shared" si="317"/>
        <v>1.0176603428268045</v>
      </c>
      <c r="T277" s="30">
        <f>S277*T276</f>
        <v>2.745969222087778</v>
      </c>
      <c r="V277" s="108"/>
      <c r="W277" s="108"/>
      <c r="X277" s="108"/>
      <c r="Y277" s="108"/>
      <c r="Z277" s="108"/>
    </row>
    <row r="278" spans="2:26" ht="13.5" customHeight="1">
      <c r="B278" s="110" t="s">
        <v>336</v>
      </c>
      <c r="C278" s="10">
        <v>893317.07</v>
      </c>
      <c r="D278" s="115">
        <v>0</v>
      </c>
      <c r="E278" s="115">
        <v>854794.12</v>
      </c>
      <c r="F278" s="116">
        <v>473165.74</v>
      </c>
      <c r="G278" s="68">
        <f t="shared" si="330"/>
        <v>2221276.9299999997</v>
      </c>
      <c r="H278" s="17"/>
      <c r="J278" s="96" t="str">
        <f t="shared" si="314"/>
        <v>   08/18</v>
      </c>
      <c r="K278" s="29">
        <f t="shared" si="331"/>
        <v>1.0414978539876358</v>
      </c>
      <c r="L278" s="30">
        <f>K278*L277</f>
        <v>1.541795796194399</v>
      </c>
      <c r="M278" s="118" t="s">
        <v>339</v>
      </c>
      <c r="N278" s="118" t="s">
        <v>339</v>
      </c>
      <c r="O278" s="29">
        <f t="shared" si="325"/>
        <v>1.0082673418722967</v>
      </c>
      <c r="P278" s="30">
        <f>O278*P277</f>
        <v>3.6356667540480108</v>
      </c>
      <c r="Q278" s="30">
        <f t="shared" si="316"/>
        <v>1.002554920341541</v>
      </c>
      <c r="R278" s="30">
        <f>Q278*R277</f>
        <v>1.7811625149613015</v>
      </c>
      <c r="S278" s="29">
        <f t="shared" si="317"/>
        <v>1.0201189730184386</v>
      </c>
      <c r="T278" s="30">
        <f>S278*T277</f>
        <v>2.801215302776425</v>
      </c>
      <c r="V278" s="108"/>
      <c r="W278" s="108"/>
      <c r="X278" s="108"/>
      <c r="Y278" s="108"/>
      <c r="Z278" s="108"/>
    </row>
    <row r="279" spans="2:26" ht="13.5" customHeight="1">
      <c r="B279" s="110" t="s">
        <v>340</v>
      </c>
      <c r="C279" s="10">
        <f>C280+39000</f>
        <v>893861.5</v>
      </c>
      <c r="D279" s="115">
        <v>0</v>
      </c>
      <c r="E279" s="10">
        <f>E280+38800</f>
        <v>852201.22</v>
      </c>
      <c r="F279" s="117">
        <f>F280+25900</f>
        <v>472242.25</v>
      </c>
      <c r="G279" s="68">
        <f t="shared" si="330"/>
        <v>2218304.9699999997</v>
      </c>
      <c r="H279" s="17"/>
      <c r="J279" s="96" t="str">
        <f t="shared" si="314"/>
        <v>   09/18</v>
      </c>
      <c r="K279" s="29">
        <f t="shared" si="331"/>
        <v>1.0006094476622953</v>
      </c>
      <c r="L279" s="30">
        <f>K279*L278</f>
        <v>1.5427354400381266</v>
      </c>
      <c r="M279" s="118" t="s">
        <v>339</v>
      </c>
      <c r="N279" s="118" t="s">
        <v>339</v>
      </c>
      <c r="O279" s="29">
        <f t="shared" si="325"/>
        <v>0.9969666380016746</v>
      </c>
      <c r="P279" s="30">
        <f>O279*P278</f>
        <v>3.6246384606777067</v>
      </c>
      <c r="Q279" s="30">
        <f t="shared" si="316"/>
        <v>0.9980482737401909</v>
      </c>
      <c r="R279" s="30">
        <f>Q279*R278</f>
        <v>1.777686173307864</v>
      </c>
      <c r="S279" s="29">
        <f t="shared" si="317"/>
        <v>0.9986620488603373</v>
      </c>
      <c r="T279" s="30">
        <f>S279*T278</f>
        <v>2.7974674135696342</v>
      </c>
      <c r="V279" s="108"/>
      <c r="W279" s="108"/>
      <c r="X279" s="108"/>
      <c r="Y279" s="108"/>
      <c r="Z279" s="108"/>
    </row>
    <row r="280" spans="2:26" ht="13.5" customHeight="1">
      <c r="B280" s="110" t="s">
        <v>351</v>
      </c>
      <c r="C280" s="10">
        <v>854861.5</v>
      </c>
      <c r="D280" s="115">
        <v>0</v>
      </c>
      <c r="E280" s="115">
        <v>813401.22</v>
      </c>
      <c r="F280" s="116">
        <v>446342.25</v>
      </c>
      <c r="G280" s="68">
        <f t="shared" si="330"/>
        <v>2114604.9699999997</v>
      </c>
      <c r="H280" s="17"/>
      <c r="J280" s="96" t="str">
        <f t="shared" si="314"/>
        <v>   09/18-afterdiv</v>
      </c>
      <c r="K280" s="29" t="s">
        <v>155</v>
      </c>
      <c r="L280" s="30" t="s">
        <v>155</v>
      </c>
      <c r="M280" s="118" t="s">
        <v>155</v>
      </c>
      <c r="N280" s="118" t="s">
        <v>155</v>
      </c>
      <c r="O280" s="29" t="s">
        <v>155</v>
      </c>
      <c r="P280" s="30" t="s">
        <v>155</v>
      </c>
      <c r="Q280" s="30" t="s">
        <v>155</v>
      </c>
      <c r="R280" s="30" t="s">
        <v>155</v>
      </c>
      <c r="S280" s="29" t="s">
        <v>155</v>
      </c>
      <c r="T280" s="30" t="s">
        <v>155</v>
      </c>
      <c r="V280" s="108"/>
      <c r="W280" s="108"/>
      <c r="X280" s="108"/>
      <c r="Y280" s="108"/>
      <c r="Z280" s="108"/>
    </row>
    <row r="281" spans="2:26" ht="13.5" customHeight="1">
      <c r="B281" s="110" t="s">
        <v>341</v>
      </c>
      <c r="C281" s="10">
        <v>773543.69</v>
      </c>
      <c r="D281" s="115">
        <v>0</v>
      </c>
      <c r="E281" s="115">
        <v>757276.21</v>
      </c>
      <c r="F281" s="116">
        <v>443774.37</v>
      </c>
      <c r="G281" s="68">
        <f t="shared" si="330"/>
        <v>1974594.27</v>
      </c>
      <c r="H281" s="17"/>
      <c r="J281" s="96" t="str">
        <f t="shared" si="314"/>
        <v>   10/18</v>
      </c>
      <c r="K281" s="29">
        <f>C281/C280</f>
        <v>0.904876041323653</v>
      </c>
      <c r="L281" s="30">
        <f>K281*L279</f>
        <v>1.3959843377914039</v>
      </c>
      <c r="M281" s="118" t="s">
        <v>339</v>
      </c>
      <c r="N281" s="118" t="s">
        <v>339</v>
      </c>
      <c r="O281" s="29">
        <f t="shared" si="325"/>
        <v>0.9309995994350734</v>
      </c>
      <c r="P281" s="30">
        <f>O281*P279</f>
        <v>3.374536954987906</v>
      </c>
      <c r="Q281" s="30">
        <f t="shared" si="316"/>
        <v>0.9942468363682802</v>
      </c>
      <c r="R281" s="30">
        <f>Q281*R279</f>
        <v>1.767458853866978</v>
      </c>
      <c r="S281" s="29">
        <f t="shared" si="317"/>
        <v>0.9337887208313902</v>
      </c>
      <c r="T281" s="30">
        <f>S281*T279</f>
        <v>2.6122435176846865</v>
      </c>
      <c r="V281" s="108"/>
      <c r="W281" s="108"/>
      <c r="X281" s="108"/>
      <c r="Y281" s="108"/>
      <c r="Z281" s="108"/>
    </row>
    <row r="282" spans="2:26" ht="13.5" customHeight="1">
      <c r="B282" s="110" t="s">
        <v>342</v>
      </c>
      <c r="C282" s="10">
        <v>765214.11</v>
      </c>
      <c r="D282" s="115">
        <v>0</v>
      </c>
      <c r="E282" s="115">
        <v>778800.73</v>
      </c>
      <c r="F282" s="116">
        <v>444866.37</v>
      </c>
      <c r="G282" s="68">
        <f t="shared" si="330"/>
        <v>1988881.21</v>
      </c>
      <c r="H282" s="17"/>
      <c r="J282" s="96" t="str">
        <f t="shared" si="314"/>
        <v>   11/18</v>
      </c>
      <c r="K282" s="29">
        <f>C282/C281</f>
        <v>0.9892319204361941</v>
      </c>
      <c r="L282" s="30">
        <f>K282*L281</f>
        <v>1.3809522673722392</v>
      </c>
      <c r="M282" s="118" t="s">
        <v>339</v>
      </c>
      <c r="N282" s="118" t="s">
        <v>339</v>
      </c>
      <c r="O282" s="29">
        <f t="shared" si="325"/>
        <v>1.0284236051730715</v>
      </c>
      <c r="P282" s="30">
        <f>O282*P281</f>
        <v>3.4704534610384212</v>
      </c>
      <c r="Q282" s="30">
        <f t="shared" si="316"/>
        <v>1.002460709932392</v>
      </c>
      <c r="R282" s="30">
        <f>Q282*R281</f>
        <v>1.7718080574237824</v>
      </c>
      <c r="S282" s="29">
        <f t="shared" si="317"/>
        <v>1.007235380056076</v>
      </c>
      <c r="T282" s="30">
        <f>S282*T281</f>
        <v>2.6311440923341562</v>
      </c>
      <c r="V282" s="108"/>
      <c r="W282" s="108"/>
      <c r="X282" s="108"/>
      <c r="Y282" s="108"/>
      <c r="Z282" s="108"/>
    </row>
    <row r="283" spans="2:26" ht="13.5" customHeight="1">
      <c r="B283" s="110" t="s">
        <v>343</v>
      </c>
      <c r="C283" s="10">
        <v>703400.95</v>
      </c>
      <c r="D283" s="115">
        <v>0</v>
      </c>
      <c r="E283" s="115">
        <v>698314.6</v>
      </c>
      <c r="F283" s="116">
        <v>448763.81</v>
      </c>
      <c r="G283" s="68">
        <f t="shared" si="330"/>
        <v>1850479.3599999999</v>
      </c>
      <c r="H283" s="17"/>
      <c r="J283" s="96" t="str">
        <f t="shared" si="314"/>
        <v>   12/18</v>
      </c>
      <c r="K283" s="29">
        <f>C283/C282</f>
        <v>0.9192210922508995</v>
      </c>
      <c r="L283" s="30">
        <f>K283*L282</f>
        <v>1.269400451560266</v>
      </c>
      <c r="M283" s="118" t="s">
        <v>339</v>
      </c>
      <c r="N283" s="118" t="s">
        <v>339</v>
      </c>
      <c r="O283" s="29">
        <f t="shared" si="325"/>
        <v>0.8966537563466331</v>
      </c>
      <c r="P283" s="30">
        <f>O283*P282</f>
        <v>3.1117951320662742</v>
      </c>
      <c r="Q283" s="30">
        <f t="shared" si="316"/>
        <v>1.0087609229710937</v>
      </c>
      <c r="R283" s="30">
        <f>Q283*R282</f>
        <v>1.7873307313344353</v>
      </c>
      <c r="S283" s="29">
        <f t="shared" si="317"/>
        <v>0.9304122089825565</v>
      </c>
      <c r="T283" s="30">
        <f>S283*T282</f>
        <v>2.448048587100026</v>
      </c>
      <c r="V283" s="108"/>
      <c r="W283" s="108"/>
      <c r="X283" s="108"/>
      <c r="Y283" s="108"/>
      <c r="Z283" s="108"/>
    </row>
    <row r="284" spans="2:26" ht="13.5" customHeight="1">
      <c r="B284" s="110" t="s">
        <v>345</v>
      </c>
      <c r="C284" s="10">
        <v>773267.04</v>
      </c>
      <c r="D284" s="115">
        <v>0</v>
      </c>
      <c r="E284" s="115">
        <v>749861.04</v>
      </c>
      <c r="F284" s="116">
        <f>F283</f>
        <v>448763.81</v>
      </c>
      <c r="G284" s="68">
        <f t="shared" si="330"/>
        <v>1971891.8900000001</v>
      </c>
      <c r="H284" s="17"/>
      <c r="J284" s="96" t="str">
        <f t="shared" si="314"/>
        <v>   01/19</v>
      </c>
      <c r="K284" s="29">
        <f>C284/C283</f>
        <v>1.0993261240264178</v>
      </c>
      <c r="L284" s="30">
        <f>K284*L283</f>
        <v>1.3954850782511317</v>
      </c>
      <c r="M284" s="118" t="s">
        <v>339</v>
      </c>
      <c r="N284" s="118" t="s">
        <v>339</v>
      </c>
      <c r="O284" s="29">
        <f t="shared" si="325"/>
        <v>1.0738154980577523</v>
      </c>
      <c r="P284" s="30">
        <f>O284*P283</f>
        <v>3.3414938395934355</v>
      </c>
      <c r="Q284" s="30">
        <f t="shared" si="316"/>
        <v>1</v>
      </c>
      <c r="R284" s="30">
        <f>Q284*R283</f>
        <v>1.7873307313344353</v>
      </c>
      <c r="S284" s="29">
        <f t="shared" si="317"/>
        <v>1.0656113937958218</v>
      </c>
      <c r="T284" s="30">
        <f>S284*T283</f>
        <v>2.608668466979551</v>
      </c>
      <c r="V284" s="108"/>
      <c r="W284" s="108"/>
      <c r="X284" s="108"/>
      <c r="Y284" s="108"/>
      <c r="Z284" s="108"/>
    </row>
    <row r="285" spans="2:26" ht="13.5" customHeight="1">
      <c r="B285" s="110" t="s">
        <v>352</v>
      </c>
      <c r="C285" s="10">
        <f>C286+130000</f>
        <v>802269.92</v>
      </c>
      <c r="D285" s="115">
        <v>0</v>
      </c>
      <c r="E285" s="10">
        <f>E286+120000</f>
        <v>762548.91</v>
      </c>
      <c r="F285" s="10">
        <f>F286+100000</f>
        <v>453820.67</v>
      </c>
      <c r="G285" s="68">
        <f t="shared" si="330"/>
        <v>2018639.5</v>
      </c>
      <c r="H285" s="17"/>
      <c r="J285" s="96" t="str">
        <f t="shared" si="314"/>
        <v>   02/19</v>
      </c>
      <c r="K285" s="29">
        <f>C285/C284</f>
        <v>1.0375069393879766</v>
      </c>
      <c r="L285" s="30">
        <f>K285*L284</f>
        <v>1.4478254524979226</v>
      </c>
      <c r="M285" s="118" t="s">
        <v>339</v>
      </c>
      <c r="N285" s="118">
        <v>1</v>
      </c>
      <c r="O285" s="29">
        <f t="shared" si="325"/>
        <v>1.0169202949922562</v>
      </c>
      <c r="P285" s="30">
        <f>O285*P284</f>
        <v>3.3980329010741634</v>
      </c>
      <c r="Q285" s="30">
        <f t="shared" si="316"/>
        <v>1.011268422023603</v>
      </c>
      <c r="R285" s="30">
        <f>Q285*R284</f>
        <v>1.8074711283108666</v>
      </c>
      <c r="S285" s="29">
        <f t="shared" si="317"/>
        <v>1.0237069842606836</v>
      </c>
      <c r="T285" s="30">
        <f>S285*T284</f>
        <v>2.6705121292675766</v>
      </c>
      <c r="V285" s="108"/>
      <c r="W285" s="108"/>
      <c r="X285" s="108"/>
      <c r="Y285" s="108"/>
      <c r="Z285" s="108"/>
    </row>
    <row r="286" spans="2:26" ht="13.5" customHeight="1">
      <c r="B286" s="110" t="s">
        <v>353</v>
      </c>
      <c r="C286" s="10">
        <v>672269.92</v>
      </c>
      <c r="D286" s="115">
        <v>350000</v>
      </c>
      <c r="E286" s="115">
        <v>642548.91</v>
      </c>
      <c r="F286" s="116">
        <v>353820.67</v>
      </c>
      <c r="G286" s="68">
        <f t="shared" si="330"/>
        <v>2018639.5</v>
      </c>
      <c r="H286" s="17"/>
      <c r="J286" s="96" t="str">
        <f t="shared" si="314"/>
        <v>   02/19 - afterESG</v>
      </c>
      <c r="K286" s="29" t="s">
        <v>155</v>
      </c>
      <c r="L286" s="30" t="s">
        <v>155</v>
      </c>
      <c r="M286" s="118" t="s">
        <v>155</v>
      </c>
      <c r="N286" s="30" t="s">
        <v>155</v>
      </c>
      <c r="O286" s="29" t="s">
        <v>155</v>
      </c>
      <c r="P286" s="30" t="s">
        <v>155</v>
      </c>
      <c r="Q286" s="30" t="s">
        <v>155</v>
      </c>
      <c r="R286" s="30" t="s">
        <v>155</v>
      </c>
      <c r="S286" s="29" t="s">
        <v>155</v>
      </c>
      <c r="T286" s="30" t="s">
        <v>155</v>
      </c>
      <c r="V286" s="108"/>
      <c r="W286" s="108"/>
      <c r="X286" s="108"/>
      <c r="Y286" s="108"/>
      <c r="Z286" s="108"/>
    </row>
    <row r="287" spans="2:26" ht="13.5" customHeight="1">
      <c r="B287" s="110" t="s">
        <v>346</v>
      </c>
      <c r="C287" s="10">
        <v>701037.42</v>
      </c>
      <c r="D287" s="115">
        <v>351847.67</v>
      </c>
      <c r="E287" s="115">
        <v>652270.47</v>
      </c>
      <c r="F287" s="116">
        <v>358890.56</v>
      </c>
      <c r="G287" s="68">
        <f t="shared" si="330"/>
        <v>2064046.12</v>
      </c>
      <c r="H287" s="17"/>
      <c r="J287" s="96" t="str">
        <f t="shared" si="314"/>
        <v>   03/19</v>
      </c>
      <c r="K287" s="29">
        <f>C287/C286</f>
        <v>1.0427915918058628</v>
      </c>
      <c r="L287" s="30">
        <f>K287*L285</f>
        <v>1.5097802082673524</v>
      </c>
      <c r="M287" s="29">
        <f>D287/D286</f>
        <v>1.0052790571428571</v>
      </c>
      <c r="N287" s="30">
        <f>M287*N285</f>
        <v>1.0052790571428571</v>
      </c>
      <c r="O287" s="29">
        <f t="shared" si="325"/>
        <v>1.0151296809452217</v>
      </c>
      <c r="P287" s="30">
        <f>O287*P285</f>
        <v>3.4494440547087817</v>
      </c>
      <c r="Q287" s="30">
        <f t="shared" si="316"/>
        <v>1.0143289819670513</v>
      </c>
      <c r="R287" s="30">
        <f>Q287*R285</f>
        <v>1.833370349514399</v>
      </c>
      <c r="S287" s="29">
        <f t="shared" si="317"/>
        <v>1.0224936745763669</v>
      </c>
      <c r="T287" s="30">
        <f>S287*T285</f>
        <v>2.730581760055562</v>
      </c>
      <c r="V287" s="108"/>
      <c r="W287" s="108"/>
      <c r="X287" s="108"/>
      <c r="Y287" s="108"/>
      <c r="Z287" s="108"/>
    </row>
    <row r="288" spans="2:26" ht="13.5" customHeight="1">
      <c r="B288" s="110" t="s">
        <v>354</v>
      </c>
      <c r="C288" s="10">
        <v>728879.88</v>
      </c>
      <c r="D288" s="115">
        <v>364753.85</v>
      </c>
      <c r="E288" s="115">
        <v>671331.28</v>
      </c>
      <c r="F288" s="116">
        <v>359203.4</v>
      </c>
      <c r="G288" s="68">
        <f t="shared" si="330"/>
        <v>2124168.41</v>
      </c>
      <c r="H288" s="17"/>
      <c r="J288" s="96" t="str">
        <f t="shared" si="314"/>
        <v>   04/19</v>
      </c>
      <c r="K288" s="29">
        <f>C288/C287</f>
        <v>1.0397160824881502</v>
      </c>
      <c r="L288" s="30">
        <f>K288*L287</f>
        <v>1.5697427635578751</v>
      </c>
      <c r="M288" s="29">
        <f>D288/D287</f>
        <v>1.0366811580704798</v>
      </c>
      <c r="N288" s="30">
        <f>M288*N287</f>
        <v>1.0421538571428572</v>
      </c>
      <c r="O288" s="29">
        <f t="shared" si="325"/>
        <v>1.0292222488625002</v>
      </c>
      <c r="P288" s="30">
        <f>O288*P287</f>
        <v>3.5502445673127534</v>
      </c>
      <c r="Q288" s="30">
        <f t="shared" si="316"/>
        <v>1.000871686343603</v>
      </c>
      <c r="R288" s="30">
        <f>Q288*R287</f>
        <v>1.8349684734108371</v>
      </c>
      <c r="S288" s="29">
        <f t="shared" si="317"/>
        <v>1.0291283656006678</v>
      </c>
      <c r="T288" s="30">
        <f>S288*T287</f>
        <v>2.8101191438649753</v>
      </c>
      <c r="V288" s="108"/>
      <c r="W288" s="108"/>
      <c r="X288" s="108"/>
      <c r="Y288" s="108"/>
      <c r="Z288" s="108"/>
    </row>
    <row r="289" spans="2:26" ht="13.5" customHeight="1">
      <c r="B289" s="110" t="s">
        <v>357</v>
      </c>
      <c r="C289" s="10">
        <v>35100</v>
      </c>
      <c r="D289" s="115">
        <v>17600</v>
      </c>
      <c r="E289" s="115">
        <v>32600</v>
      </c>
      <c r="F289" s="116">
        <v>17900</v>
      </c>
      <c r="G289" s="68">
        <f t="shared" si="330"/>
        <v>103200</v>
      </c>
      <c r="H289" s="17"/>
      <c r="J289" s="96" t="str">
        <f t="shared" si="314"/>
        <v>   04/19-Div</v>
      </c>
      <c r="K289" s="29" t="s">
        <v>155</v>
      </c>
      <c r="L289" s="30"/>
      <c r="M289" s="29"/>
      <c r="N289" s="30"/>
      <c r="O289" s="29" t="s">
        <v>155</v>
      </c>
      <c r="P289" s="30"/>
      <c r="Q289" s="30" t="s">
        <v>155</v>
      </c>
      <c r="R289" s="30"/>
      <c r="S289" s="29" t="s">
        <v>155</v>
      </c>
      <c r="T289" s="30"/>
      <c r="V289" s="108"/>
      <c r="W289" s="108"/>
      <c r="X289" s="108"/>
      <c r="Y289" s="108"/>
      <c r="Z289" s="108"/>
    </row>
    <row r="290" spans="2:26" ht="13.5" customHeight="1">
      <c r="B290" s="110" t="s">
        <v>356</v>
      </c>
      <c r="C290" s="10">
        <f>C288-C289</f>
        <v>693779.88</v>
      </c>
      <c r="D290" s="10">
        <f>D288-D289</f>
        <v>347153.85</v>
      </c>
      <c r="E290" s="10">
        <f>E288-E289</f>
        <v>638731.28</v>
      </c>
      <c r="F290" s="10">
        <f>F288-F289</f>
        <v>341303.4</v>
      </c>
      <c r="G290" s="68">
        <f t="shared" si="330"/>
        <v>2020968.4100000001</v>
      </c>
      <c r="H290" s="17"/>
      <c r="J290" s="96" t="str">
        <f t="shared" si="314"/>
        <v>   04/19-after</v>
      </c>
      <c r="K290" s="29"/>
      <c r="L290" s="30"/>
      <c r="M290" s="29"/>
      <c r="N290" s="30"/>
      <c r="O290" s="29" t="s">
        <v>155</v>
      </c>
      <c r="P290" s="30"/>
      <c r="Q290" s="30"/>
      <c r="R290" s="30"/>
      <c r="S290" s="29"/>
      <c r="T290" s="30"/>
      <c r="V290" s="108"/>
      <c r="W290" s="108"/>
      <c r="X290" s="108"/>
      <c r="Y290" s="108"/>
      <c r="Z290" s="108"/>
    </row>
    <row r="291" spans="2:26" ht="13.5" customHeight="1">
      <c r="B291" s="110" t="s">
        <v>355</v>
      </c>
      <c r="C291" s="10">
        <v>646471.16</v>
      </c>
      <c r="D291" s="115">
        <v>331017.28</v>
      </c>
      <c r="E291" s="115">
        <v>601826.77</v>
      </c>
      <c r="F291" s="116">
        <v>345169.31</v>
      </c>
      <c r="G291" s="68">
        <f t="shared" si="330"/>
        <v>1924484.52</v>
      </c>
      <c r="H291" s="17"/>
      <c r="J291" s="96" t="str">
        <f t="shared" si="314"/>
        <v>   05/19</v>
      </c>
      <c r="K291" s="29">
        <f>C291/C290</f>
        <v>0.9318101874041087</v>
      </c>
      <c r="L291" s="30">
        <f>K291*L288</f>
        <v>1.4627022986871072</v>
      </c>
      <c r="M291" s="29">
        <f>D291/D290</f>
        <v>0.9535175254429702</v>
      </c>
      <c r="N291" s="30">
        <f>M291*N288</f>
        <v>0.9937119669937039</v>
      </c>
      <c r="O291" s="29">
        <f t="shared" si="325"/>
        <v>0.9422221657909098</v>
      </c>
      <c r="P291" s="30">
        <f>O291*P288</f>
        <v>3.345119125300834</v>
      </c>
      <c r="Q291" s="30">
        <f t="shared" si="316"/>
        <v>1.0113269015192934</v>
      </c>
      <c r="R291" s="30">
        <f>Q291*R288</f>
        <v>1.8557529806001698</v>
      </c>
      <c r="S291" s="29">
        <f t="shared" si="317"/>
        <v>0.952258585773738</v>
      </c>
      <c r="T291" s="30">
        <f>S291*T288</f>
        <v>2.6759600817925686</v>
      </c>
      <c r="V291" s="108"/>
      <c r="W291" s="108"/>
      <c r="X291" s="108"/>
      <c r="Y291" s="108"/>
      <c r="Z291" s="108"/>
    </row>
    <row r="292" spans="2:26" ht="13.5" customHeight="1">
      <c r="B292" s="110" t="s">
        <v>358</v>
      </c>
      <c r="C292" s="10">
        <v>692079.47</v>
      </c>
      <c r="D292" s="115">
        <v>351942.14</v>
      </c>
      <c r="E292" s="115">
        <v>643628.56</v>
      </c>
      <c r="F292" s="116">
        <v>349449.24</v>
      </c>
      <c r="G292" s="68">
        <f t="shared" si="330"/>
        <v>2037099.41</v>
      </c>
      <c r="H292" s="17"/>
      <c r="J292" s="96" t="str">
        <f t="shared" si="314"/>
        <v>   06/19</v>
      </c>
      <c r="K292" s="29">
        <f>C292/C291</f>
        <v>1.0705496436994961</v>
      </c>
      <c r="L292" s="30">
        <f>K292*L291</f>
        <v>1.5658954246979166</v>
      </c>
      <c r="M292" s="29">
        <f>D292/D291</f>
        <v>1.0632137995937856</v>
      </c>
      <c r="N292" s="30">
        <f>M292*N291</f>
        <v>1.0565282761291903</v>
      </c>
      <c r="O292" s="29">
        <f t="shared" si="325"/>
        <v>1.069458176478258</v>
      </c>
      <c r="P292" s="30">
        <f>O292*P291</f>
        <v>3.5774649998467756</v>
      </c>
      <c r="Q292" s="30">
        <f t="shared" si="316"/>
        <v>1.0123995090988824</v>
      </c>
      <c r="R292" s="30">
        <f>Q292*R291</f>
        <v>1.8787634065683998</v>
      </c>
      <c r="S292" s="29">
        <f t="shared" si="317"/>
        <v>1.0585169113233501</v>
      </c>
      <c r="T292" s="30">
        <f>S292*T291</f>
        <v>2.832549000603649</v>
      </c>
      <c r="V292" s="108"/>
      <c r="W292" s="108"/>
      <c r="X292" s="108"/>
      <c r="Y292" s="108"/>
      <c r="Z292" s="108"/>
    </row>
    <row r="293" spans="2:26" ht="13.5" customHeight="1">
      <c r="B293" s="110" t="s">
        <v>359</v>
      </c>
      <c r="C293" s="10">
        <v>705835.81</v>
      </c>
      <c r="D293" s="115">
        <v>358360.15</v>
      </c>
      <c r="E293" s="115">
        <v>646018.86</v>
      </c>
      <c r="F293" s="116">
        <v>350004.28</v>
      </c>
      <c r="G293" s="68">
        <f t="shared" si="330"/>
        <v>2060219.0999999999</v>
      </c>
      <c r="H293" s="17"/>
      <c r="J293" s="96" t="str">
        <f t="shared" si="314"/>
        <v>   07/19</v>
      </c>
      <c r="K293" s="29">
        <f>C293/C292</f>
        <v>1.0198768213713956</v>
      </c>
      <c r="L293" s="30">
        <f aca="true" t="shared" si="332" ref="L293:T294">K293*L292</f>
        <v>1.5970204483409227</v>
      </c>
      <c r="M293" s="29">
        <f>D293/D292</f>
        <v>1.0182359804938392</v>
      </c>
      <c r="N293" s="30">
        <f t="shared" si="332"/>
        <v>1.075795105163872</v>
      </c>
      <c r="O293" s="29">
        <f t="shared" si="325"/>
        <v>1.0037137879649094</v>
      </c>
      <c r="P293" s="30">
        <f t="shared" si="332"/>
        <v>3.5907509463080913</v>
      </c>
      <c r="Q293" s="30">
        <f t="shared" si="316"/>
        <v>1.0015883279643134</v>
      </c>
      <c r="R293" s="30">
        <f t="shared" si="332"/>
        <v>1.881747499025381</v>
      </c>
      <c r="S293" s="29">
        <f t="shared" si="317"/>
        <v>1.0113493184900584</v>
      </c>
      <c r="T293" s="30">
        <f t="shared" si="332"/>
        <v>2.8646965013501964</v>
      </c>
      <c r="V293" s="108"/>
      <c r="W293" s="108"/>
      <c r="X293" s="108"/>
      <c r="Y293" s="108"/>
      <c r="Z293" s="108"/>
    </row>
    <row r="294" spans="2:26" ht="13.5" customHeight="1">
      <c r="B294" s="110" t="s">
        <v>360</v>
      </c>
      <c r="C294" s="10">
        <v>699656.24</v>
      </c>
      <c r="D294" s="115">
        <v>357758.45</v>
      </c>
      <c r="E294" s="115">
        <v>656179.55</v>
      </c>
      <c r="F294" s="116">
        <v>356815.68</v>
      </c>
      <c r="G294" s="68">
        <f t="shared" si="330"/>
        <v>2070409.92</v>
      </c>
      <c r="H294" s="17"/>
      <c r="J294" s="96" t="str">
        <f t="shared" si="314"/>
        <v>   08/19</v>
      </c>
      <c r="K294" s="29">
        <f>C294/C293</f>
        <v>0.9912450319005491</v>
      </c>
      <c r="L294" s="30">
        <f t="shared" si="332"/>
        <v>1.5830385852615272</v>
      </c>
      <c r="M294" s="29">
        <f>D294/D293</f>
        <v>0.9983209628637559</v>
      </c>
      <c r="N294" s="30">
        <f t="shared" si="332"/>
        <v>1.0739888052313122</v>
      </c>
      <c r="O294" s="29">
        <f t="shared" si="325"/>
        <v>1.0157281631065695</v>
      </c>
      <c r="P294" s="30">
        <f t="shared" si="332"/>
        <v>3.647226862866694</v>
      </c>
      <c r="Q294" s="30">
        <f t="shared" si="316"/>
        <v>1.0194609048780774</v>
      </c>
      <c r="R294" s="30">
        <f t="shared" si="332"/>
        <v>1.918368008108474</v>
      </c>
      <c r="S294" s="29">
        <f t="shared" si="317"/>
        <v>1.0049464738968783</v>
      </c>
      <c r="T294" s="30">
        <f t="shared" si="332"/>
        <v>2.878866647816604</v>
      </c>
      <c r="V294" s="108"/>
      <c r="W294" s="108"/>
      <c r="X294" s="108"/>
      <c r="Y294" s="108"/>
      <c r="Z294" s="108"/>
    </row>
    <row r="295" spans="2:26" ht="13.5" customHeight="1">
      <c r="B295" s="110" t="s">
        <v>362</v>
      </c>
      <c r="C295" s="10">
        <v>698657.77</v>
      </c>
      <c r="D295" s="115">
        <v>356034.67</v>
      </c>
      <c r="E295" s="115">
        <v>659563.85</v>
      </c>
      <c r="F295" s="116">
        <v>355519.48</v>
      </c>
      <c r="G295" s="68">
        <v>2069775.77</v>
      </c>
      <c r="H295" s="17"/>
      <c r="J295" s="96" t="str">
        <f aca="true" t="shared" si="333" ref="J295:J301">B295</f>
        <v>   09/19</v>
      </c>
      <c r="K295" s="29">
        <f aca="true" t="shared" si="334" ref="K295:K301">C295/C294</f>
        <v>0.9985729134639034</v>
      </c>
      <c r="L295" s="30">
        <f aca="true" t="shared" si="335" ref="L295:L301">K295*L294</f>
        <v>1.580779452210379</v>
      </c>
      <c r="M295" s="29">
        <f aca="true" t="shared" si="336" ref="M295:M301">D295/D294</f>
        <v>0.9951817210746524</v>
      </c>
      <c r="N295" s="30">
        <f aca="true" t="shared" si="337" ref="N295:N301">M295*N294</f>
        <v>1.0688140276050069</v>
      </c>
      <c r="O295" s="29">
        <f aca="true" t="shared" si="338" ref="O295:O301">E295/E294</f>
        <v>1.005157582250163</v>
      </c>
      <c r="P295" s="30">
        <f aca="true" t="shared" si="339" ref="P295:P301">O295*P294</f>
        <v>3.666037735396933</v>
      </c>
      <c r="Q295" s="30">
        <f aca="true" t="shared" si="340" ref="Q295:Q301">F295/F294</f>
        <v>0.996367312109154</v>
      </c>
      <c r="R295" s="30">
        <f aca="true" t="shared" si="341" ref="R295:R301">Q295*R294</f>
        <v>1.9113991758752318</v>
      </c>
      <c r="S295" s="29">
        <f aca="true" t="shared" si="342" ref="S295:S301">G295/G294</f>
        <v>0.9996937079976898</v>
      </c>
      <c r="T295" s="30">
        <f aca="true" t="shared" si="343" ref="T295:T301">S295*T294</f>
        <v>2.87798487398666</v>
      </c>
      <c r="V295" s="108"/>
      <c r="W295" s="108"/>
      <c r="X295" s="108"/>
      <c r="Y295" s="108"/>
      <c r="Z295" s="108"/>
    </row>
    <row r="296" spans="2:26" ht="13.5" customHeight="1">
      <c r="B296" s="110" t="s">
        <v>363</v>
      </c>
      <c r="C296" s="10">
        <v>724444.77</v>
      </c>
      <c r="D296" s="115">
        <v>362290.63</v>
      </c>
      <c r="E296" s="115">
        <v>654189.66</v>
      </c>
      <c r="F296" s="116">
        <v>356728.19</v>
      </c>
      <c r="G296" s="68">
        <v>2097653.25</v>
      </c>
      <c r="H296" s="17"/>
      <c r="J296" s="96" t="str">
        <f t="shared" si="333"/>
        <v>   10/19</v>
      </c>
      <c r="K296" s="29">
        <f t="shared" si="334"/>
        <v>1.0369093440412178</v>
      </c>
      <c r="L296" s="30">
        <f t="shared" si="335"/>
        <v>1.6391249848652998</v>
      </c>
      <c r="M296" s="29">
        <f t="shared" si="336"/>
        <v>1.0175712101296204</v>
      </c>
      <c r="N296" s="30">
        <f t="shared" si="337"/>
        <v>1.0875943834735404</v>
      </c>
      <c r="O296" s="29">
        <f t="shared" si="338"/>
        <v>0.991851903344915</v>
      </c>
      <c r="P296" s="30">
        <f t="shared" si="339"/>
        <v>3.6361665055877297</v>
      </c>
      <c r="Q296" s="30">
        <f t="shared" si="340"/>
        <v>1.0033998418314518</v>
      </c>
      <c r="R296" s="30">
        <f t="shared" si="341"/>
        <v>1.9178976307499749</v>
      </c>
      <c r="S296" s="29">
        <f t="shared" si="342"/>
        <v>1.0134688406367807</v>
      </c>
      <c r="T296" s="30">
        <f t="shared" si="343"/>
        <v>2.9167479936094516</v>
      </c>
      <c r="V296" s="108"/>
      <c r="W296" s="108"/>
      <c r="X296" s="108"/>
      <c r="Y296" s="108"/>
      <c r="Z296" s="108"/>
    </row>
    <row r="297" spans="2:26" ht="13.5" customHeight="1">
      <c r="B297" s="110" t="s">
        <v>364</v>
      </c>
      <c r="C297" s="10">
        <v>753925.73</v>
      </c>
      <c r="D297" s="115">
        <v>371940.46</v>
      </c>
      <c r="E297" s="115">
        <v>680500.47</v>
      </c>
      <c r="F297" s="116">
        <v>356478.3</v>
      </c>
      <c r="G297" s="68">
        <v>2162844.96</v>
      </c>
      <c r="H297" s="17"/>
      <c r="J297" s="96" t="str">
        <f t="shared" si="333"/>
        <v>   11/19</v>
      </c>
      <c r="K297" s="29">
        <f t="shared" si="334"/>
        <v>1.0406945583995313</v>
      </c>
      <c r="L297" s="30">
        <f t="shared" si="335"/>
        <v>1.7058284522860316</v>
      </c>
      <c r="M297" s="29">
        <f t="shared" si="336"/>
        <v>1.0266356046801433</v>
      </c>
      <c r="N297" s="30">
        <f t="shared" si="337"/>
        <v>1.1165631175240858</v>
      </c>
      <c r="O297" s="29">
        <f t="shared" si="338"/>
        <v>1.0402189328397515</v>
      </c>
      <c r="P297" s="30">
        <f t="shared" si="339"/>
        <v>3.7824092420701168</v>
      </c>
      <c r="Q297" s="30">
        <f t="shared" si="340"/>
        <v>0.9992994946656725</v>
      </c>
      <c r="R297" s="30">
        <f t="shared" si="341"/>
        <v>1.9165541332289404</v>
      </c>
      <c r="S297" s="29">
        <f t="shared" si="342"/>
        <v>1.031078401542295</v>
      </c>
      <c r="T297" s="30">
        <f t="shared" si="343"/>
        <v>3.0073958589525294</v>
      </c>
      <c r="V297" s="108"/>
      <c r="W297" s="108"/>
      <c r="X297" s="108"/>
      <c r="Y297" s="108"/>
      <c r="Z297" s="108"/>
    </row>
    <row r="298" spans="2:26" ht="13.5" customHeight="1">
      <c r="B298" s="110" t="s">
        <v>365</v>
      </c>
      <c r="C298" s="10">
        <v>771338.18</v>
      </c>
      <c r="D298" s="115">
        <v>378888.82</v>
      </c>
      <c r="E298" s="115">
        <v>682755.28</v>
      </c>
      <c r="F298" s="116">
        <v>357483.41</v>
      </c>
      <c r="G298" s="68">
        <v>2190465.69</v>
      </c>
      <c r="H298" s="17"/>
      <c r="J298" s="96" t="str">
        <f t="shared" si="333"/>
        <v>   12/19</v>
      </c>
      <c r="K298" s="29">
        <f t="shared" si="334"/>
        <v>1.0230957099713258</v>
      </c>
      <c r="L298" s="30">
        <f t="shared" si="335"/>
        <v>1.7452257714808654</v>
      </c>
      <c r="M298" s="29">
        <f t="shared" si="336"/>
        <v>1.0186813771214887</v>
      </c>
      <c r="N298" s="30">
        <f t="shared" si="337"/>
        <v>1.1374220542024982</v>
      </c>
      <c r="O298" s="29">
        <f t="shared" si="338"/>
        <v>1.003313458402167</v>
      </c>
      <c r="P298" s="30">
        <f t="shared" si="339"/>
        <v>3.794942097753688</v>
      </c>
      <c r="Q298" s="30">
        <f t="shared" si="340"/>
        <v>1.002819554514258</v>
      </c>
      <c r="R298" s="30">
        <f t="shared" si="341"/>
        <v>1.921957962087106</v>
      </c>
      <c r="S298" s="29">
        <f t="shared" si="342"/>
        <v>1.01277055476043</v>
      </c>
      <c r="T298" s="30">
        <f t="shared" si="343"/>
        <v>3.045801972455573</v>
      </c>
      <c r="V298" s="108"/>
      <c r="W298" s="108"/>
      <c r="X298" s="108"/>
      <c r="Y298" s="108"/>
      <c r="Z298" s="108"/>
    </row>
    <row r="299" spans="2:26" ht="13.5" customHeight="1">
      <c r="B299" s="110" t="s">
        <v>366</v>
      </c>
      <c r="C299" s="10">
        <v>783398.36</v>
      </c>
      <c r="D299" s="115">
        <v>383026.96</v>
      </c>
      <c r="E299" s="115">
        <v>677615.99</v>
      </c>
      <c r="F299" s="116">
        <v>357483.41</v>
      </c>
      <c r="G299" s="68">
        <v>2201524.72</v>
      </c>
      <c r="H299" s="17"/>
      <c r="J299" s="96" t="str">
        <f t="shared" si="333"/>
        <v>   01/20</v>
      </c>
      <c r="K299" s="29">
        <f t="shared" si="334"/>
        <v>1.0156353987300355</v>
      </c>
      <c r="L299" s="30">
        <f t="shared" si="335"/>
        <v>1.7725130722919027</v>
      </c>
      <c r="M299" s="29">
        <f t="shared" si="336"/>
        <v>1.0109217791118779</v>
      </c>
      <c r="N299" s="30">
        <f t="shared" si="337"/>
        <v>1.1498447266354763</v>
      </c>
      <c r="O299" s="29">
        <f t="shared" si="338"/>
        <v>0.9924727202402593</v>
      </c>
      <c r="P299" s="30">
        <f t="shared" si="339"/>
        <v>3.766376506911879</v>
      </c>
      <c r="Q299" s="30">
        <f t="shared" si="340"/>
        <v>1</v>
      </c>
      <c r="R299" s="30">
        <f t="shared" si="341"/>
        <v>1.921957962087106</v>
      </c>
      <c r="S299" s="29">
        <f t="shared" si="342"/>
        <v>1.0050487118106837</v>
      </c>
      <c r="T299" s="30">
        <f t="shared" si="343"/>
        <v>3.0611793488469132</v>
      </c>
      <c r="V299" s="108"/>
      <c r="W299" s="108"/>
      <c r="X299" s="108"/>
      <c r="Y299" s="108"/>
      <c r="Z299" s="108"/>
    </row>
    <row r="300" spans="2:26" ht="13.5" customHeight="1">
      <c r="B300" s="110" t="s">
        <v>367</v>
      </c>
      <c r="C300" s="10">
        <v>733777.6</v>
      </c>
      <c r="D300" s="115">
        <v>351649.72</v>
      </c>
      <c r="E300" s="115">
        <v>613305.37</v>
      </c>
      <c r="F300" s="116">
        <v>365651.08</v>
      </c>
      <c r="G300" s="68">
        <v>2064383.77</v>
      </c>
      <c r="H300" s="17"/>
      <c r="J300" s="96" t="str">
        <f t="shared" si="333"/>
        <v>   02/20</v>
      </c>
      <c r="K300" s="29">
        <f t="shared" si="334"/>
        <v>0.9366596069973901</v>
      </c>
      <c r="L300" s="30">
        <f t="shared" si="335"/>
        <v>1.6602413976906703</v>
      </c>
      <c r="M300" s="29">
        <f t="shared" si="336"/>
        <v>0.9180808578069803</v>
      </c>
      <c r="N300" s="30">
        <f t="shared" si="337"/>
        <v>1.0556504329743308</v>
      </c>
      <c r="O300" s="29">
        <f t="shared" si="338"/>
        <v>0.9050928240344506</v>
      </c>
      <c r="P300" s="30">
        <f t="shared" si="339"/>
        <v>3.408920349017882</v>
      </c>
      <c r="Q300" s="30">
        <f t="shared" si="340"/>
        <v>1.0228476896312477</v>
      </c>
      <c r="R300" s="30">
        <f t="shared" si="341"/>
        <v>1.9658702610891774</v>
      </c>
      <c r="S300" s="29">
        <f t="shared" si="342"/>
        <v>0.9377063774237338</v>
      </c>
      <c r="T300" s="30">
        <f t="shared" si="343"/>
        <v>2.870487397851583</v>
      </c>
      <c r="V300" s="50"/>
      <c r="W300" s="50"/>
      <c r="X300" s="50"/>
      <c r="Y300" s="50"/>
      <c r="Z300" s="50"/>
    </row>
    <row r="301" spans="2:26" ht="13.5" customHeight="1">
      <c r="B301" s="110" t="s">
        <v>368</v>
      </c>
      <c r="C301" s="10">
        <v>630079.46</v>
      </c>
      <c r="D301" s="115">
        <v>291553.54</v>
      </c>
      <c r="E301" s="115">
        <v>543025.2</v>
      </c>
      <c r="F301" s="116">
        <v>355821.83</v>
      </c>
      <c r="G301" s="68">
        <v>1820480.03</v>
      </c>
      <c r="H301" s="17"/>
      <c r="J301" s="96" t="str">
        <f t="shared" si="333"/>
        <v>   03/20</v>
      </c>
      <c r="K301" s="29">
        <f t="shared" si="334"/>
        <v>0.8586790602493181</v>
      </c>
      <c r="L301" s="30">
        <f t="shared" si="335"/>
        <v>1.425614523156039</v>
      </c>
      <c r="M301" s="29">
        <f t="shared" si="336"/>
        <v>0.8291021531312467</v>
      </c>
      <c r="N301" s="30">
        <f t="shared" si="337"/>
        <v>0.8752420469329505</v>
      </c>
      <c r="O301" s="29">
        <f t="shared" si="338"/>
        <v>0.8854075417601511</v>
      </c>
      <c r="P301" s="30">
        <f t="shared" si="339"/>
        <v>3.018283786280079</v>
      </c>
      <c r="Q301" s="30">
        <f t="shared" si="340"/>
        <v>0.9731184986517748</v>
      </c>
      <c r="R301" s="30">
        <f t="shared" si="341"/>
        <v>1.9130247170152728</v>
      </c>
      <c r="S301" s="29">
        <f t="shared" si="342"/>
        <v>0.8818515512743059</v>
      </c>
      <c r="T301" s="30">
        <f t="shared" si="343"/>
        <v>2.5313437647087644</v>
      </c>
      <c r="V301" s="50"/>
      <c r="W301" s="50"/>
      <c r="X301" s="50"/>
      <c r="Y301" s="50"/>
      <c r="Z301" s="50"/>
    </row>
    <row r="302" spans="2:26" ht="13.5" customHeight="1">
      <c r="B302" s="119" t="s">
        <v>369</v>
      </c>
      <c r="C302" s="10">
        <v>726566.39</v>
      </c>
      <c r="D302" s="115">
        <v>329708.84</v>
      </c>
      <c r="E302" s="115">
        <v>591856.08</v>
      </c>
      <c r="F302" s="116">
        <v>365072.64</v>
      </c>
      <c r="G302" s="68">
        <v>2013203.9500000002</v>
      </c>
      <c r="H302" s="17"/>
      <c r="J302" s="96" t="str">
        <f>B302</f>
        <v>   04/20</v>
      </c>
      <c r="K302" s="29">
        <f>C302/C301</f>
        <v>1.1531345427448152</v>
      </c>
      <c r="L302" s="30">
        <f>K302*L301</f>
        <v>1.6439253512899068</v>
      </c>
      <c r="M302" s="29">
        <f>D302/D301</f>
        <v>1.1308689306259154</v>
      </c>
      <c r="N302" s="30">
        <f>M302*N301</f>
        <v>0.989784037653903</v>
      </c>
      <c r="O302" s="29">
        <f>E302/E301</f>
        <v>1.0899237825426886</v>
      </c>
      <c r="P302" s="30">
        <f>O302*P301</f>
        <v>3.2896992811296517</v>
      </c>
      <c r="Q302" s="30">
        <f>F302/F301</f>
        <v>1.0259984329797864</v>
      </c>
      <c r="R302" s="30">
        <f>Q302*R301</f>
        <v>1.9627603619092693</v>
      </c>
      <c r="S302" s="29">
        <f>G302/G301</f>
        <v>1.1058643417252976</v>
      </c>
      <c r="T302" s="30">
        <f>S302*T301</f>
        <v>2.7993228060400943</v>
      </c>
      <c r="V302" s="50"/>
      <c r="W302" s="50"/>
      <c r="X302" s="50"/>
      <c r="Y302" s="50"/>
      <c r="Z302" s="50"/>
    </row>
    <row r="303" spans="2:26" ht="13.5" customHeight="1">
      <c r="B303" s="119" t="s">
        <v>371</v>
      </c>
      <c r="C303" s="10">
        <v>31500</v>
      </c>
      <c r="D303" s="115">
        <v>14600</v>
      </c>
      <c r="E303" s="115">
        <v>27200</v>
      </c>
      <c r="F303" s="116">
        <v>17800</v>
      </c>
      <c r="G303" s="68">
        <v>91100</v>
      </c>
      <c r="H303" s="17"/>
      <c r="J303" s="96"/>
      <c r="K303" s="29"/>
      <c r="L303" s="30"/>
      <c r="M303" s="29"/>
      <c r="N303" s="30"/>
      <c r="O303" s="29"/>
      <c r="P303" s="30"/>
      <c r="Q303" s="30"/>
      <c r="R303" s="30"/>
      <c r="S303" s="29"/>
      <c r="T303" s="30"/>
      <c r="V303" s="50"/>
      <c r="W303" s="50"/>
      <c r="X303" s="50"/>
      <c r="Y303" s="50"/>
      <c r="Z303" s="50"/>
    </row>
    <row r="304" spans="2:26" ht="13.5" customHeight="1">
      <c r="B304" s="119" t="s">
        <v>372</v>
      </c>
      <c r="C304" s="10">
        <v>695066.39</v>
      </c>
      <c r="D304" s="115">
        <v>315108.84</v>
      </c>
      <c r="E304" s="115">
        <v>564656.08</v>
      </c>
      <c r="F304" s="116">
        <v>347272.64</v>
      </c>
      <c r="G304" s="68">
        <v>1922103.9500000002</v>
      </c>
      <c r="H304" s="17"/>
      <c r="J304" s="120" t="s">
        <v>155</v>
      </c>
      <c r="K304" s="121" t="s">
        <v>155</v>
      </c>
      <c r="L304" s="122" t="s">
        <v>155</v>
      </c>
      <c r="M304" s="121" t="s">
        <v>155</v>
      </c>
      <c r="N304" s="122" t="s">
        <v>155</v>
      </c>
      <c r="O304" s="121" t="s">
        <v>155</v>
      </c>
      <c r="P304" s="122" t="s">
        <v>155</v>
      </c>
      <c r="Q304" s="122" t="s">
        <v>155</v>
      </c>
      <c r="R304" s="122" t="s">
        <v>155</v>
      </c>
      <c r="S304" s="121" t="s">
        <v>155</v>
      </c>
      <c r="T304" s="122" t="s">
        <v>155</v>
      </c>
      <c r="U304" s="122" t="s">
        <v>155</v>
      </c>
      <c r="V304" s="123" t="s">
        <v>155</v>
      </c>
      <c r="W304" s="123" t="s">
        <v>155</v>
      </c>
      <c r="X304" s="50"/>
      <c r="Y304" s="50"/>
      <c r="Z304" s="50"/>
    </row>
    <row r="305" spans="2:26" ht="13.5" customHeight="1">
      <c r="B305" s="119" t="s">
        <v>370</v>
      </c>
      <c r="C305" s="10">
        <v>763801.89</v>
      </c>
      <c r="D305" s="115">
        <v>328951.64</v>
      </c>
      <c r="E305" s="115">
        <v>583536.05</v>
      </c>
      <c r="F305" s="116">
        <v>351456.78</v>
      </c>
      <c r="G305" s="68">
        <v>2027746.36</v>
      </c>
      <c r="H305" s="17"/>
      <c r="J305" s="96" t="str">
        <f aca="true" t="shared" si="344" ref="J305:J322">B305</f>
        <v>   05/20</v>
      </c>
      <c r="K305" s="29">
        <f aca="true" t="shared" si="345" ref="K305:K311">C305/C304</f>
        <v>1.0988905534620945</v>
      </c>
      <c r="L305" s="30">
        <f>K305*L302</f>
        <v>1.8064940391293338</v>
      </c>
      <c r="M305" s="29">
        <f aca="true" t="shared" si="346" ref="M305:M311">D305/D304</f>
        <v>1.0439302178891585</v>
      </c>
      <c r="N305" s="30">
        <f>M305*N302</f>
        <v>1.0332654660912501</v>
      </c>
      <c r="O305" s="29">
        <f aca="true" t="shared" si="347" ref="O305:O311">E305/E304</f>
        <v>1.0334362290050965</v>
      </c>
      <c r="P305" s="30">
        <f>O305*P302</f>
        <v>3.399694419651404</v>
      </c>
      <c r="Q305" s="30">
        <f aca="true" t="shared" si="348" ref="Q305:Q311">F305/F304</f>
        <v>1.012048573708542</v>
      </c>
      <c r="R305" s="30">
        <f>Q305*R302</f>
        <v>1.9864088248019378</v>
      </c>
      <c r="S305" s="29">
        <f aca="true" t="shared" si="349" ref="S305:S311">G305/G304</f>
        <v>1.054961860933692</v>
      </c>
      <c r="T305" s="30">
        <f>S305*T302</f>
        <v>2.953178796814182</v>
      </c>
      <c r="V305" s="50"/>
      <c r="W305" s="50"/>
      <c r="X305" s="50"/>
      <c r="Y305" s="50"/>
      <c r="Z305" s="50"/>
    </row>
    <row r="306" spans="2:26" ht="13.5" customHeight="1">
      <c r="B306" s="119" t="s">
        <v>373</v>
      </c>
      <c r="C306" s="10">
        <v>817495.93</v>
      </c>
      <c r="D306" s="115">
        <v>338236.76</v>
      </c>
      <c r="E306" s="115">
        <v>592921.79</v>
      </c>
      <c r="F306" s="116">
        <v>354443.36</v>
      </c>
      <c r="G306" s="68">
        <v>2103097.84</v>
      </c>
      <c r="H306" s="17"/>
      <c r="J306" s="96" t="str">
        <f t="shared" si="344"/>
        <v>   06/20</v>
      </c>
      <c r="K306" s="29">
        <f t="shared" si="345"/>
        <v>1.0702983858811872</v>
      </c>
      <c r="L306" s="30">
        <f aca="true" t="shared" si="350" ref="L306:L311">K306*L305</f>
        <v>1.9334876541841122</v>
      </c>
      <c r="M306" s="29">
        <f t="shared" si="346"/>
        <v>1.0282263982632827</v>
      </c>
      <c r="N306" s="30">
        <f aca="true" t="shared" si="351" ref="N306:N311">M306*N305</f>
        <v>1.0624308286488382</v>
      </c>
      <c r="O306" s="29">
        <f t="shared" si="347"/>
        <v>1.0160842504931786</v>
      </c>
      <c r="P306" s="30">
        <f aca="true" t="shared" si="352" ref="P306:P311">O306*P305</f>
        <v>3.454375956297339</v>
      </c>
      <c r="Q306" s="30">
        <f t="shared" si="348"/>
        <v>1.0084977162768063</v>
      </c>
      <c r="R306" s="30">
        <f aca="true" t="shared" si="353" ref="R306:R311">Q306*R305</f>
        <v>2.003288763404849</v>
      </c>
      <c r="S306" s="29">
        <f t="shared" si="349"/>
        <v>1.037160209721693</v>
      </c>
      <c r="T306" s="30">
        <f aca="true" t="shared" si="354" ref="T306:T311">S306*T305</f>
        <v>3.062919540249454</v>
      </c>
      <c r="V306" s="50"/>
      <c r="W306" s="50"/>
      <c r="X306" s="50"/>
      <c r="Y306" s="50"/>
      <c r="Z306" s="50"/>
    </row>
    <row r="307" spans="2:26" ht="13.5" customHeight="1">
      <c r="B307" s="119" t="s">
        <v>374</v>
      </c>
      <c r="C307" s="10">
        <v>870154.33</v>
      </c>
      <c r="D307" s="115">
        <v>354604.22</v>
      </c>
      <c r="E307" s="115">
        <v>623867.91</v>
      </c>
      <c r="F307" s="116">
        <v>360327.95</v>
      </c>
      <c r="G307" s="68">
        <v>2208954.41</v>
      </c>
      <c r="H307" s="17"/>
      <c r="J307" s="96" t="str">
        <f t="shared" si="344"/>
        <v>   07/20</v>
      </c>
      <c r="K307" s="29">
        <f t="shared" si="345"/>
        <v>1.0644142656465578</v>
      </c>
      <c r="L307" s="30">
        <f t="shared" si="350"/>
        <v>2.0580318415650676</v>
      </c>
      <c r="M307" s="29">
        <f t="shared" si="346"/>
        <v>1.0483905415839483</v>
      </c>
      <c r="N307" s="30">
        <f t="shared" si="351"/>
        <v>1.1138424318426385</v>
      </c>
      <c r="O307" s="29">
        <f t="shared" si="347"/>
        <v>1.0521925834434251</v>
      </c>
      <c r="P307" s="30">
        <f t="shared" si="352"/>
        <v>3.634668761641349</v>
      </c>
      <c r="Q307" s="30">
        <f t="shared" si="348"/>
        <v>1.0166023423319315</v>
      </c>
      <c r="R307" s="30">
        <f t="shared" si="353"/>
        <v>2.036548049244608</v>
      </c>
      <c r="S307" s="29">
        <f t="shared" si="349"/>
        <v>1.0503336402076284</v>
      </c>
      <c r="T307" s="30">
        <f t="shared" si="354"/>
        <v>3.217087430373285</v>
      </c>
      <c r="V307" s="50"/>
      <c r="W307" s="50"/>
      <c r="X307" s="50"/>
      <c r="Y307" s="50"/>
      <c r="Z307" s="50"/>
    </row>
    <row r="308" spans="2:26" ht="13.5" customHeight="1">
      <c r="B308" s="119" t="s">
        <v>375</v>
      </c>
      <c r="C308" s="10">
        <v>968584.91</v>
      </c>
      <c r="D308" s="115">
        <v>384293.53</v>
      </c>
      <c r="E308" s="115">
        <v>650348.91</v>
      </c>
      <c r="F308" s="116">
        <v>357329.74</v>
      </c>
      <c r="G308" s="68">
        <v>2360557.09</v>
      </c>
      <c r="H308" s="17"/>
      <c r="J308" s="96" t="str">
        <f t="shared" si="344"/>
        <v>   08/20</v>
      </c>
      <c r="K308" s="29">
        <f t="shared" si="345"/>
        <v>1.1131185315138294</v>
      </c>
      <c r="L308" s="30">
        <f t="shared" si="350"/>
        <v>2.29083338129161</v>
      </c>
      <c r="M308" s="29">
        <f t="shared" si="346"/>
        <v>1.0837252021422645</v>
      </c>
      <c r="N308" s="30">
        <f t="shared" si="351"/>
        <v>1.207099114603295</v>
      </c>
      <c r="O308" s="29">
        <f t="shared" si="347"/>
        <v>1.0424464851862631</v>
      </c>
      <c r="P308" s="30">
        <f t="shared" si="352"/>
        <v>3.788947675389332</v>
      </c>
      <c r="Q308" s="30">
        <f t="shared" si="348"/>
        <v>0.9916792188893478</v>
      </c>
      <c r="R308" s="30">
        <f t="shared" si="353"/>
        <v>2.019602378705518</v>
      </c>
      <c r="S308" s="29">
        <f t="shared" si="349"/>
        <v>1.0686309682597748</v>
      </c>
      <c r="T308" s="30">
        <f t="shared" si="354"/>
        <v>3.437879255696154</v>
      </c>
      <c r="V308" s="50"/>
      <c r="W308" s="50"/>
      <c r="X308" s="50"/>
      <c r="Y308" s="50"/>
      <c r="Z308" s="50"/>
    </row>
    <row r="309" spans="2:26" ht="13.5" customHeight="1">
      <c r="B309" s="119" t="s">
        <v>376</v>
      </c>
      <c r="C309" s="10">
        <v>910353.66</v>
      </c>
      <c r="D309" s="115">
        <v>370718.85</v>
      </c>
      <c r="E309" s="115">
        <v>638228.16</v>
      </c>
      <c r="F309" s="116">
        <v>356675.16</v>
      </c>
      <c r="G309" s="68">
        <v>2275975.83</v>
      </c>
      <c r="H309" s="17"/>
      <c r="J309" s="96" t="str">
        <f t="shared" si="344"/>
        <v>   09/20</v>
      </c>
      <c r="K309" s="29">
        <f t="shared" si="345"/>
        <v>0.9398800772149135</v>
      </c>
      <c r="L309" s="30">
        <f t="shared" si="350"/>
        <v>2.1531086552948597</v>
      </c>
      <c r="M309" s="29">
        <f t="shared" si="346"/>
        <v>0.9646762723275616</v>
      </c>
      <c r="N309" s="30">
        <f t="shared" si="351"/>
        <v>1.1644598742054066</v>
      </c>
      <c r="O309" s="29">
        <f t="shared" si="347"/>
        <v>0.9813626965254697</v>
      </c>
      <c r="P309" s="30">
        <f t="shared" si="352"/>
        <v>3.718331907713985</v>
      </c>
      <c r="Q309" s="30">
        <f t="shared" si="348"/>
        <v>0.9981681345638904</v>
      </c>
      <c r="R309" s="30">
        <f t="shared" si="353"/>
        <v>2.0159027389132826</v>
      </c>
      <c r="S309" s="29">
        <f t="shared" si="349"/>
        <v>0.9641689411544798</v>
      </c>
      <c r="T309" s="30">
        <f t="shared" si="354"/>
        <v>3.314696401781512</v>
      </c>
      <c r="V309" s="50"/>
      <c r="W309" s="50"/>
      <c r="X309" s="50"/>
      <c r="Y309" s="50"/>
      <c r="Z309" s="50"/>
    </row>
    <row r="310" spans="2:26" ht="13.5" customHeight="1">
      <c r="B310" s="119" t="s">
        <v>377</v>
      </c>
      <c r="C310" s="10">
        <v>901304.54</v>
      </c>
      <c r="D310" s="115">
        <v>364832.56</v>
      </c>
      <c r="E310" s="115">
        <v>627115.57</v>
      </c>
      <c r="F310" s="116">
        <v>355102.15</v>
      </c>
      <c r="G310" s="68">
        <v>2248354.82</v>
      </c>
      <c r="H310" s="17"/>
      <c r="J310" s="96" t="str">
        <f t="shared" si="344"/>
        <v>   10/20</v>
      </c>
      <c r="K310" s="29">
        <f t="shared" si="345"/>
        <v>0.9900597752306505</v>
      </c>
      <c r="L310" s="30">
        <f t="shared" si="350"/>
        <v>2.131706271308397</v>
      </c>
      <c r="M310" s="29">
        <f t="shared" si="346"/>
        <v>0.9841219565716716</v>
      </c>
      <c r="N310" s="30">
        <f t="shared" si="351"/>
        <v>1.1459705297522274</v>
      </c>
      <c r="O310" s="29">
        <f t="shared" si="347"/>
        <v>0.9825883740385255</v>
      </c>
      <c r="P310" s="30">
        <f t="shared" si="352"/>
        <v>3.653589703336253</v>
      </c>
      <c r="Q310" s="30">
        <f t="shared" si="348"/>
        <v>0.9955897966093294</v>
      </c>
      <c r="R310" s="30">
        <f t="shared" si="353"/>
        <v>2.0070121978188653</v>
      </c>
      <c r="S310" s="29">
        <f t="shared" si="349"/>
        <v>0.9878641022299431</v>
      </c>
      <c r="T310" s="30">
        <f t="shared" si="354"/>
        <v>3.2744695851107166</v>
      </c>
      <c r="V310" s="50"/>
      <c r="W310" s="50"/>
      <c r="X310" s="50"/>
      <c r="Y310" s="50"/>
      <c r="Z310" s="50"/>
    </row>
    <row r="311" spans="2:26" ht="13.5" customHeight="1">
      <c r="B311" s="119" t="s">
        <v>378</v>
      </c>
      <c r="C311" s="10">
        <v>983984.58</v>
      </c>
      <c r="D311" s="115">
        <v>403667.95</v>
      </c>
      <c r="E311" s="115">
        <v>699920.87</v>
      </c>
      <c r="F311" s="116">
        <v>360101.05</v>
      </c>
      <c r="G311" s="68">
        <v>2447674.4499999997</v>
      </c>
      <c r="H311" s="17"/>
      <c r="J311" s="96" t="str">
        <f t="shared" si="344"/>
        <v>   11/20</v>
      </c>
      <c r="K311" s="29">
        <f t="shared" si="345"/>
        <v>1.0917337440683477</v>
      </c>
      <c r="L311" s="30">
        <f t="shared" si="350"/>
        <v>2.327255668829493</v>
      </c>
      <c r="M311" s="29">
        <f t="shared" si="346"/>
        <v>1.1064471603082795</v>
      </c>
      <c r="N311" s="30">
        <f t="shared" si="351"/>
        <v>1.2679558384413268</v>
      </c>
      <c r="O311" s="29">
        <f t="shared" si="347"/>
        <v>1.116095506925462</v>
      </c>
      <c r="P311" s="30">
        <f t="shared" si="352"/>
        <v>4.077755052042724</v>
      </c>
      <c r="Q311" s="30">
        <f t="shared" si="348"/>
        <v>1.0140773577405824</v>
      </c>
      <c r="R311" s="30">
        <f t="shared" si="353"/>
        <v>2.035265626517274</v>
      </c>
      <c r="S311" s="29">
        <f t="shared" si="349"/>
        <v>1.088651323281794</v>
      </c>
      <c r="T311" s="30">
        <f t="shared" si="354"/>
        <v>3.564755646876769</v>
      </c>
      <c r="V311" s="50"/>
      <c r="W311" s="50"/>
      <c r="X311" s="50"/>
      <c r="Y311" s="50"/>
      <c r="Z311" s="50"/>
    </row>
    <row r="312" spans="2:26" ht="13.5" customHeight="1">
      <c r="B312" s="23" t="s">
        <v>379</v>
      </c>
      <c r="C312" s="10">
        <v>1024047.11</v>
      </c>
      <c r="D312" s="115">
        <v>413834.39</v>
      </c>
      <c r="E312" s="115">
        <v>737107.54</v>
      </c>
      <c r="F312" s="116">
        <v>360650.51</v>
      </c>
      <c r="G312" s="68">
        <f aca="true" t="shared" si="355" ref="G312:G337">SUM(C312:F312)</f>
        <v>2535639.55</v>
      </c>
      <c r="H312" s="17"/>
      <c r="J312" s="96" t="str">
        <f t="shared" si="344"/>
        <v>   12/20</v>
      </c>
      <c r="K312" s="29">
        <f>C312/C311</f>
        <v>1.040714591279469</v>
      </c>
      <c r="L312" s="30">
        <f>K312*L311</f>
        <v>2.4220089321887133</v>
      </c>
      <c r="M312" s="29">
        <f>D312/D311</f>
        <v>1.0251851552742792</v>
      </c>
      <c r="N312" s="30">
        <f>M312*N311</f>
        <v>1.2998895031134006</v>
      </c>
      <c r="O312" s="29">
        <f>E312/E311</f>
        <v>1.0531298202323929</v>
      </c>
      <c r="P312" s="30">
        <f>O312*P311</f>
        <v>4.2944054449094855</v>
      </c>
      <c r="Q312" s="30">
        <f>F312/F311</f>
        <v>1.0015258494803057</v>
      </c>
      <c r="R312" s="30">
        <f>Q312*R311</f>
        <v>2.038371135515779</v>
      </c>
      <c r="S312" s="29">
        <f>G312/G311</f>
        <v>1.0359382351684883</v>
      </c>
      <c r="T312" s="30">
        <f>S312*T311</f>
        <v>3.6928666736324227</v>
      </c>
      <c r="V312" s="50"/>
      <c r="W312" s="50"/>
      <c r="X312" s="50"/>
      <c r="Y312" s="50"/>
      <c r="Z312" s="50"/>
    </row>
    <row r="313" spans="2:26" ht="13.5" customHeight="1">
      <c r="B313" s="23" t="s">
        <v>380</v>
      </c>
      <c r="C313" s="10">
        <v>1041574.1</v>
      </c>
      <c r="D313" s="115">
        <v>405088.45</v>
      </c>
      <c r="E313" s="115">
        <v>748502.3</v>
      </c>
      <c r="F313" s="116">
        <v>357827.74</v>
      </c>
      <c r="G313" s="68">
        <f t="shared" si="355"/>
        <v>2552992.59</v>
      </c>
      <c r="H313" s="17"/>
      <c r="J313" s="96" t="str">
        <f t="shared" si="344"/>
        <v>   01/21</v>
      </c>
      <c r="K313" s="29">
        <f>C313/C312</f>
        <v>1.0171154137625562</v>
      </c>
      <c r="L313" s="30">
        <f>K313*L312</f>
        <v>2.4634626171997303</v>
      </c>
      <c r="M313" s="29">
        <f>D313/D312</f>
        <v>0.9788660869871157</v>
      </c>
      <c r="N313" s="30">
        <f>M313*N312</f>
        <v>1.2724177514282407</v>
      </c>
      <c r="O313" s="29">
        <f>E313/E312</f>
        <v>1.0154587483937554</v>
      </c>
      <c r="P313" s="30">
        <f>O313*P312</f>
        <v>4.360791578183115</v>
      </c>
      <c r="Q313" s="30">
        <f>F313/F312</f>
        <v>0.9921731151856682</v>
      </c>
      <c r="R313" s="30">
        <f>Q313*R312</f>
        <v>2.0224170394292385</v>
      </c>
      <c r="S313" s="29">
        <f>G313/G312</f>
        <v>1.006843654099022</v>
      </c>
      <c r="T313" s="30">
        <f>S313*T312</f>
        <v>3.7181393757805687</v>
      </c>
      <c r="V313" s="50"/>
      <c r="W313" s="50"/>
      <c r="X313" s="50"/>
      <c r="Y313" s="50"/>
      <c r="Z313" s="50"/>
    </row>
    <row r="314" spans="2:26" ht="13.5" customHeight="1">
      <c r="B314" s="23" t="s">
        <v>381</v>
      </c>
      <c r="C314" s="10">
        <v>1089068.63</v>
      </c>
      <c r="D314" s="115">
        <v>410587.75</v>
      </c>
      <c r="E314" s="115">
        <v>783321.77</v>
      </c>
      <c r="F314" s="116">
        <v>352746.67</v>
      </c>
      <c r="G314" s="68">
        <f t="shared" si="355"/>
        <v>2635724.82</v>
      </c>
      <c r="H314" s="17"/>
      <c r="J314" s="96" t="str">
        <f t="shared" si="344"/>
        <v>   02/21</v>
      </c>
      <c r="K314" s="29">
        <f>C314/C313</f>
        <v>1.0455988008918424</v>
      </c>
      <c r="L314" s="30">
        <f>K314*L313</f>
        <v>2.575793558585918</v>
      </c>
      <c r="M314" s="29">
        <f>D314/D313</f>
        <v>1.0135755536846336</v>
      </c>
      <c r="N314" s="30">
        <f>M314*N313</f>
        <v>1.2896915269220355</v>
      </c>
      <c r="O314" s="29">
        <f>E314/E313</f>
        <v>1.0465188550522824</v>
      </c>
      <c r="P314" s="30">
        <f>O314*P313</f>
        <v>4.5636506095218285</v>
      </c>
      <c r="Q314" s="30">
        <f>F314/F313</f>
        <v>0.9858002344927198</v>
      </c>
      <c r="R314" s="30">
        <f>Q314*R313</f>
        <v>1.9936991917114155</v>
      </c>
      <c r="S314" s="29">
        <f>G314/G313</f>
        <v>1.0324059812488526</v>
      </c>
      <c r="T314" s="30">
        <f>S314*T313</f>
        <v>3.8386293306727346</v>
      </c>
      <c r="V314" s="50"/>
      <c r="W314" s="50"/>
      <c r="X314" s="50"/>
      <c r="Y314" s="50"/>
      <c r="Z314" s="50"/>
    </row>
    <row r="315" spans="2:26" ht="13.5" customHeight="1">
      <c r="B315" s="23" t="s">
        <v>382</v>
      </c>
      <c r="C315" s="10">
        <v>1067267.13</v>
      </c>
      <c r="D315" s="115">
        <v>421331.86</v>
      </c>
      <c r="E315" s="115">
        <v>825882.78</v>
      </c>
      <c r="F315" s="116">
        <v>348754.24</v>
      </c>
      <c r="G315" s="68">
        <f t="shared" si="355"/>
        <v>2663236.01</v>
      </c>
      <c r="H315" s="17"/>
      <c r="J315" s="96" t="str">
        <f t="shared" si="344"/>
        <v>   03/21</v>
      </c>
      <c r="K315" s="29">
        <f>C315/C314</f>
        <v>0.9799815187037386</v>
      </c>
      <c r="L315" s="30">
        <f>K315*L314</f>
        <v>2.5242300834103353</v>
      </c>
      <c r="M315" s="29">
        <f>D315/D314</f>
        <v>1.0261676340806563</v>
      </c>
      <c r="N315" s="30">
        <f>M315*N314</f>
        <v>1.323439702875454</v>
      </c>
      <c r="O315" s="29">
        <f>E315/E314</f>
        <v>1.0543340063177358</v>
      </c>
      <c r="P315" s="30">
        <f>O315*P314</f>
        <v>4.811612030571526</v>
      </c>
      <c r="Q315" s="30">
        <f>F315/F314</f>
        <v>0.9886818775638619</v>
      </c>
      <c r="R315" s="30">
        <f>Q315*R314</f>
        <v>1.9711342601587962</v>
      </c>
      <c r="S315" s="29">
        <f>G315/G314</f>
        <v>1.01043780814721</v>
      </c>
      <c r="T315" s="30">
        <f>S315*T314</f>
        <v>3.87869620717455</v>
      </c>
      <c r="V315" s="50"/>
      <c r="W315" s="50"/>
      <c r="X315" s="50"/>
      <c r="Y315" s="50"/>
      <c r="Z315" s="50"/>
    </row>
    <row r="316" spans="2:26" ht="13.5" customHeight="1">
      <c r="B316" s="23" t="s">
        <v>383</v>
      </c>
      <c r="C316" s="10">
        <v>1129139.66</v>
      </c>
      <c r="D316" s="115">
        <v>434165.94</v>
      </c>
      <c r="E316" s="115">
        <v>861222.2</v>
      </c>
      <c r="F316" s="116">
        <v>352506.07</v>
      </c>
      <c r="G316" s="68">
        <f t="shared" si="355"/>
        <v>2777033.8699999996</v>
      </c>
      <c r="H316" s="17"/>
      <c r="J316" s="96" t="str">
        <f t="shared" si="344"/>
        <v>   04/21</v>
      </c>
      <c r="K316" s="29">
        <f>C316/C315</f>
        <v>1.0579728619581867</v>
      </c>
      <c r="L316" s="30">
        <f>K316*L315</f>
        <v>2.6705669255865847</v>
      </c>
      <c r="M316" s="29">
        <f>D316/D315</f>
        <v>1.0304607394275858</v>
      </c>
      <c r="N316" s="30">
        <f>M316*N315</f>
        <v>1.363752654812865</v>
      </c>
      <c r="O316" s="29">
        <f>E316/E315</f>
        <v>1.042789873885008</v>
      </c>
      <c r="P316" s="30">
        <f>O316*P315</f>
        <v>5.01750030254327</v>
      </c>
      <c r="Q316" s="30">
        <f>F316/F315</f>
        <v>1.0107578046936434</v>
      </c>
      <c r="R316" s="30">
        <f>Q316*R315</f>
        <v>1.9923393375545337</v>
      </c>
      <c r="S316" s="29">
        <f>G316/G315</f>
        <v>1.0427291684149314</v>
      </c>
      <c r="T316" s="30">
        <f>S316*T315</f>
        <v>4.044429670641267</v>
      </c>
      <c r="V316" s="50"/>
      <c r="W316" s="50"/>
      <c r="X316" s="50"/>
      <c r="Y316" s="50"/>
      <c r="Z316" s="50"/>
    </row>
    <row r="317" spans="2:26" ht="13.5" customHeight="1">
      <c r="B317" s="23" t="s">
        <v>388</v>
      </c>
      <c r="C317" s="10">
        <f>C316-240000</f>
        <v>889139.6599999999</v>
      </c>
      <c r="D317" s="115">
        <f>D316+140000</f>
        <v>574165.94</v>
      </c>
      <c r="E317" s="3">
        <f>E316</f>
        <v>861222.2</v>
      </c>
      <c r="F317" s="116">
        <f>F316+100000</f>
        <v>452506.07</v>
      </c>
      <c r="G317" s="68">
        <f t="shared" si="355"/>
        <v>2777033.8699999996</v>
      </c>
      <c r="H317" s="17"/>
      <c r="J317" s="96"/>
      <c r="K317" s="29"/>
      <c r="L317" s="30"/>
      <c r="M317" s="29"/>
      <c r="N317" s="30"/>
      <c r="O317" s="29"/>
      <c r="P317" s="30"/>
      <c r="Q317" s="30"/>
      <c r="R317" s="30"/>
      <c r="S317" s="29"/>
      <c r="T317" s="30"/>
      <c r="V317" s="50"/>
      <c r="W317" s="50"/>
      <c r="X317" s="50"/>
      <c r="Y317" s="50"/>
      <c r="Z317" s="50"/>
    </row>
    <row r="318" spans="2:26" ht="13.5" customHeight="1">
      <c r="B318" s="23" t="s">
        <v>389</v>
      </c>
      <c r="C318" s="10">
        <v>880819.54</v>
      </c>
      <c r="D318" s="115">
        <v>582123.32</v>
      </c>
      <c r="E318" s="115">
        <v>917015.86</v>
      </c>
      <c r="F318" s="116">
        <v>454148.14</v>
      </c>
      <c r="G318" s="68">
        <f t="shared" si="355"/>
        <v>2834106.86</v>
      </c>
      <c r="H318" s="17"/>
      <c r="J318" s="96" t="str">
        <f t="shared" si="344"/>
        <v>   05/21</v>
      </c>
      <c r="K318" s="29">
        <f>C318/C317</f>
        <v>0.9906425049131203</v>
      </c>
      <c r="L318" s="30">
        <f>K318*L316</f>
        <v>2.6455771087012248</v>
      </c>
      <c r="M318" s="29">
        <f>D318/D317</f>
        <v>1.013859024796908</v>
      </c>
      <c r="N318" s="30">
        <f>M318*N316</f>
        <v>1.3826529366727653</v>
      </c>
      <c r="O318" s="29">
        <f>E318/E317</f>
        <v>1.064784279829294</v>
      </c>
      <c r="P318" s="30">
        <f>O318*P316</f>
        <v>5.3425554461867995</v>
      </c>
      <c r="Q318" s="30">
        <f>F318/F317</f>
        <v>1.0036288352993807</v>
      </c>
      <c r="R318" s="30">
        <f>Q318*R316</f>
        <v>1.9995692088709964</v>
      </c>
      <c r="S318" s="29">
        <f>G318/G317</f>
        <v>1.0205517803065183</v>
      </c>
      <c r="T318" s="30">
        <f>S318*T316</f>
        <v>4.12754990069745</v>
      </c>
      <c r="V318" s="50"/>
      <c r="W318" s="50"/>
      <c r="X318" s="50"/>
      <c r="Y318" s="50"/>
      <c r="Z318" s="50"/>
    </row>
    <row r="319" spans="2:26" ht="13.5" customHeight="1">
      <c r="B319" s="23" t="s">
        <v>384</v>
      </c>
      <c r="C319" s="10">
        <v>930086.93</v>
      </c>
      <c r="D319" s="115">
        <v>601332.81</v>
      </c>
      <c r="E319" s="115">
        <v>900474.99</v>
      </c>
      <c r="F319" s="116">
        <v>456420.55</v>
      </c>
      <c r="G319" s="68">
        <f t="shared" si="355"/>
        <v>2888315.2800000003</v>
      </c>
      <c r="H319" s="17"/>
      <c r="J319" s="96" t="str">
        <f t="shared" si="344"/>
        <v>   06/21</v>
      </c>
      <c r="K319" s="29">
        <f>C319/C318</f>
        <v>1.055933579765953</v>
      </c>
      <c r="L319" s="30">
        <f>K319*L318</f>
        <v>2.793553706937744</v>
      </c>
      <c r="M319" s="29">
        <f>D319/D318</f>
        <v>1.032999004403397</v>
      </c>
      <c r="N319" s="30">
        <f>M319*N318</f>
        <v>1.4282791070183998</v>
      </c>
      <c r="O319" s="29">
        <f>E319/E318</f>
        <v>0.9819622857995063</v>
      </c>
      <c r="P319" s="30">
        <f>O319*P318</f>
        <v>5.246187957948191</v>
      </c>
      <c r="Q319" s="30">
        <f>F319/F318</f>
        <v>1.0050036756728762</v>
      </c>
      <c r="R319" s="30">
        <f>Q319*R318</f>
        <v>2.0095744046776565</v>
      </c>
      <c r="S319" s="29">
        <f>G319/G318</f>
        <v>1.0191271616342654</v>
      </c>
      <c r="T319" s="30">
        <f>S319*T318</f>
        <v>4.206498214801586</v>
      </c>
      <c r="V319" s="50"/>
      <c r="W319" s="50"/>
      <c r="X319" s="50"/>
      <c r="Y319" s="50"/>
      <c r="Z319" s="50"/>
    </row>
    <row r="320" spans="2:26" ht="13.5" customHeight="1">
      <c r="B320" s="23" t="s">
        <v>385</v>
      </c>
      <c r="C320" s="10">
        <v>917417.84</v>
      </c>
      <c r="D320" s="115">
        <v>615631.12</v>
      </c>
      <c r="E320" s="115">
        <v>877880.23</v>
      </c>
      <c r="F320" s="116">
        <v>461438.47</v>
      </c>
      <c r="G320" s="68">
        <f t="shared" si="355"/>
        <v>2872367.66</v>
      </c>
      <c r="H320" s="17"/>
      <c r="J320" s="96" t="str">
        <f t="shared" si="344"/>
        <v>   07/21</v>
      </c>
      <c r="K320" s="29">
        <f>C320/C319</f>
        <v>0.9863785958157695</v>
      </c>
      <c r="L320" s="30">
        <f>K320*L319</f>
        <v>2.7555015827851896</v>
      </c>
      <c r="M320" s="29">
        <f>D320/D319</f>
        <v>1.0237776980770432</v>
      </c>
      <c r="N320" s="30">
        <f>M320*N319</f>
        <v>1.4622402963948322</v>
      </c>
      <c r="O320" s="29">
        <f>E320/E319</f>
        <v>0.9749079538566641</v>
      </c>
      <c r="P320" s="30">
        <f>O320*P319</f>
        <v>5.114550367630741</v>
      </c>
      <c r="Q320" s="30">
        <f>F320/F319</f>
        <v>1.0109940711477605</v>
      </c>
      <c r="R320" s="30">
        <f>Q320*R319</f>
        <v>2.0316678086594013</v>
      </c>
      <c r="S320" s="29">
        <f>G320/G319</f>
        <v>0.9944785736825794</v>
      </c>
      <c r="T320" s="30">
        <f>S320*T319</f>
        <v>4.183272344854198</v>
      </c>
      <c r="V320" s="50"/>
      <c r="W320" s="50"/>
      <c r="X320" s="50"/>
      <c r="Y320" s="50"/>
      <c r="Z320" s="50"/>
    </row>
    <row r="321" spans="2:26" ht="13.5" customHeight="1">
      <c r="B321" s="23" t="s">
        <v>386</v>
      </c>
      <c r="C321" s="10">
        <v>925424.61</v>
      </c>
      <c r="D321" s="115">
        <v>626313.16</v>
      </c>
      <c r="E321" s="115">
        <v>890777.85</v>
      </c>
      <c r="F321" s="116">
        <v>464077.66</v>
      </c>
      <c r="G321" s="68">
        <f t="shared" si="355"/>
        <v>2906593.2800000003</v>
      </c>
      <c r="H321" s="17"/>
      <c r="J321" s="96" t="str">
        <f t="shared" si="344"/>
        <v>   08/21</v>
      </c>
      <c r="K321" s="29">
        <f>C321/C320</f>
        <v>1.008727506323618</v>
      </c>
      <c r="L321" s="30">
        <f>K321*L320</f>
        <v>2.779550240273687</v>
      </c>
      <c r="M321" s="29">
        <f>D321/D320</f>
        <v>1.0173513645638967</v>
      </c>
      <c r="N321" s="30">
        <f>M321*N320</f>
        <v>1.4876121608575994</v>
      </c>
      <c r="O321" s="29">
        <f>E321/E320</f>
        <v>1.01469177634858</v>
      </c>
      <c r="P321" s="30">
        <f>O321*P320</f>
        <v>5.18969219775552</v>
      </c>
      <c r="Q321" s="30">
        <f>F321/F320</f>
        <v>1.0057194841167014</v>
      </c>
      <c r="R321" s="30">
        <f>Q321*R320</f>
        <v>2.043287900421442</v>
      </c>
      <c r="S321" s="29">
        <f>G321/G320</f>
        <v>1.011915473244118</v>
      </c>
      <c r="T321" s="30">
        <f>S321*T320</f>
        <v>4.233118014552168</v>
      </c>
      <c r="V321" s="50"/>
      <c r="W321" s="50"/>
      <c r="X321" s="50"/>
      <c r="Y321" s="50"/>
      <c r="Z321" s="50"/>
    </row>
    <row r="322" spans="2:26" ht="13.5" customHeight="1">
      <c r="B322" s="23" t="s">
        <v>387</v>
      </c>
      <c r="C322" s="10">
        <v>884863.23</v>
      </c>
      <c r="D322" s="115">
        <v>593993</v>
      </c>
      <c r="E322" s="115">
        <v>891537.08</v>
      </c>
      <c r="F322" s="116">
        <v>452850.88</v>
      </c>
      <c r="G322" s="68">
        <f t="shared" si="355"/>
        <v>2823244.19</v>
      </c>
      <c r="H322" s="17"/>
      <c r="J322" s="96" t="str">
        <f t="shared" si="344"/>
        <v>   09/21</v>
      </c>
      <c r="K322" s="29">
        <f>C322/C321</f>
        <v>0.9561699790974869</v>
      </c>
      <c r="L322" s="30">
        <f>K322*L321</f>
        <v>2.657722495142906</v>
      </c>
      <c r="M322" s="29">
        <f>D322/D321</f>
        <v>0.9483961665439059</v>
      </c>
      <c r="N322" s="30">
        <f>M322*N321</f>
        <v>1.4108456706614436</v>
      </c>
      <c r="O322" s="29">
        <f>E322/E321</f>
        <v>1.000852322495446</v>
      </c>
      <c r="P322" s="30">
        <f>O322*P321</f>
        <v>5.194115489160108</v>
      </c>
      <c r="Q322" s="30">
        <f>F322/F321</f>
        <v>0.975808402412648</v>
      </c>
      <c r="R322" s="30">
        <f>Q322*R321</f>
        <v>1.9938575017793412</v>
      </c>
      <c r="S322" s="29">
        <f>G322/G321</f>
        <v>0.9713241303578599</v>
      </c>
      <c r="T322" s="30">
        <f>S322*T321</f>
        <v>4.111729674187075</v>
      </c>
      <c r="V322" s="50"/>
      <c r="W322" s="50"/>
      <c r="X322" s="50"/>
      <c r="Y322" s="50"/>
      <c r="Z322" s="50"/>
    </row>
    <row r="323" spans="2:26" ht="13.5" customHeight="1">
      <c r="B323" s="23" t="s">
        <v>390</v>
      </c>
      <c r="C323" s="10">
        <v>935178.01</v>
      </c>
      <c r="D323" s="115">
        <v>633122.1</v>
      </c>
      <c r="E323" s="115">
        <v>933236.24</v>
      </c>
      <c r="F323" s="116">
        <v>460089.87</v>
      </c>
      <c r="G323" s="68">
        <f t="shared" si="355"/>
        <v>2961626.2199999997</v>
      </c>
      <c r="H323" s="17"/>
      <c r="J323" s="96" t="str">
        <f aca="true" t="shared" si="356" ref="J323:J328">B323</f>
        <v>   10/21</v>
      </c>
      <c r="K323" s="29">
        <f aca="true" t="shared" si="357" ref="K323:K328">C323/C322</f>
        <v>1.0568616462908058</v>
      </c>
      <c r="L323" s="30">
        <f aca="true" t="shared" si="358" ref="L323:L328">K323*L322</f>
        <v>2.80884497160084</v>
      </c>
      <c r="M323" s="29">
        <f aca="true" t="shared" si="359" ref="M323:M328">D323/D322</f>
        <v>1.0658746820248723</v>
      </c>
      <c r="N323" s="30">
        <f aca="true" t="shared" si="360" ref="N323:N328">M323*N322</f>
        <v>1.503784680602434</v>
      </c>
      <c r="O323" s="29">
        <f aca="true" t="shared" si="361" ref="O323:O328">E323/E322</f>
        <v>1.0467722105288095</v>
      </c>
      <c r="P323" s="30">
        <f aca="true" t="shared" si="362" ref="P323:P328">O323*P322</f>
        <v>5.437055752330055</v>
      </c>
      <c r="Q323" s="30">
        <f aca="true" t="shared" si="363" ref="Q323:Q328">F323/F322</f>
        <v>1.015985372491713</v>
      </c>
      <c r="R323" s="30">
        <f aca="true" t="shared" si="364" ref="R323:R328">Q323*R322</f>
        <v>2.02573005664068</v>
      </c>
      <c r="S323" s="29">
        <f aca="true" t="shared" si="365" ref="S323:S328">G323/G322</f>
        <v>1.0490152536185684</v>
      </c>
      <c r="T323" s="30">
        <f aca="true" t="shared" si="366" ref="T323:T328">S323*T322</f>
        <v>4.3132671469783475</v>
      </c>
      <c r="V323" s="50"/>
      <c r="W323" s="50"/>
      <c r="X323" s="50"/>
      <c r="Y323" s="50"/>
      <c r="Z323" s="50"/>
    </row>
    <row r="324" spans="2:26" ht="13.5" customHeight="1">
      <c r="B324" s="23" t="s">
        <v>391</v>
      </c>
      <c r="C324" s="10">
        <v>909464.57</v>
      </c>
      <c r="D324" s="115">
        <v>617023.84</v>
      </c>
      <c r="E324" s="115">
        <v>897282.7</v>
      </c>
      <c r="F324" s="116">
        <v>460042.72</v>
      </c>
      <c r="G324" s="68">
        <f t="shared" si="355"/>
        <v>2883813.83</v>
      </c>
      <c r="H324" s="17"/>
      <c r="J324" s="96" t="str">
        <f t="shared" si="356"/>
        <v>   11/21</v>
      </c>
      <c r="K324" s="29">
        <f t="shared" si="357"/>
        <v>0.9725042294354205</v>
      </c>
      <c r="L324" s="30">
        <f t="shared" si="358"/>
        <v>2.73161361471023</v>
      </c>
      <c r="M324" s="29">
        <f t="shared" si="359"/>
        <v>0.9745732142346634</v>
      </c>
      <c r="N324" s="30">
        <f t="shared" si="360"/>
        <v>1.4655482696915607</v>
      </c>
      <c r="O324" s="29">
        <f t="shared" si="361"/>
        <v>0.9614743422308589</v>
      </c>
      <c r="P324" s="30">
        <f t="shared" si="362"/>
        <v>5.227589603144048</v>
      </c>
      <c r="Q324" s="30">
        <f t="shared" si="363"/>
        <v>0.9998975200214688</v>
      </c>
      <c r="R324" s="30">
        <f t="shared" si="364"/>
        <v>2.0255224598679655</v>
      </c>
      <c r="S324" s="29">
        <f t="shared" si="365"/>
        <v>0.9737264650500023</v>
      </c>
      <c r="T324" s="30">
        <f t="shared" si="366"/>
        <v>4.199942371843535</v>
      </c>
      <c r="V324" s="50"/>
      <c r="W324" s="50"/>
      <c r="X324" s="50"/>
      <c r="Y324" s="50"/>
      <c r="Z324" s="50"/>
    </row>
    <row r="325" spans="2:26" ht="13.5" customHeight="1">
      <c r="B325" s="23" t="s">
        <v>392</v>
      </c>
      <c r="C325" s="10">
        <v>924226.11</v>
      </c>
      <c r="D325" s="115">
        <v>624029</v>
      </c>
      <c r="E325" s="115">
        <v>964330.31</v>
      </c>
      <c r="F325" s="116">
        <v>459757.01</v>
      </c>
      <c r="G325" s="68">
        <f t="shared" si="355"/>
        <v>2972342.4299999997</v>
      </c>
      <c r="H325" s="17"/>
      <c r="J325" s="96" t="str">
        <f t="shared" si="356"/>
        <v>   12/21</v>
      </c>
      <c r="K325" s="29">
        <f t="shared" si="357"/>
        <v>1.016231022611469</v>
      </c>
      <c r="L325" s="30">
        <f t="shared" si="358"/>
        <v>2.7759504970563884</v>
      </c>
      <c r="M325" s="29">
        <f t="shared" si="359"/>
        <v>1.01135314317839</v>
      </c>
      <c r="N325" s="30">
        <f t="shared" si="360"/>
        <v>1.4821868490322108</v>
      </c>
      <c r="O325" s="29">
        <f t="shared" si="361"/>
        <v>1.074722949634491</v>
      </c>
      <c r="P325" s="30">
        <f t="shared" si="362"/>
        <v>5.618210517769569</v>
      </c>
      <c r="Q325" s="30">
        <f t="shared" si="363"/>
        <v>0.999378948981086</v>
      </c>
      <c r="R325" s="30">
        <f t="shared" si="364"/>
        <v>2.0242645070804315</v>
      </c>
      <c r="S325" s="29">
        <f t="shared" si="365"/>
        <v>1.0306984449131378</v>
      </c>
      <c r="T325" s="30">
        <f t="shared" si="366"/>
        <v>4.328874071383927</v>
      </c>
      <c r="V325" s="50"/>
      <c r="W325" s="50"/>
      <c r="X325" s="50"/>
      <c r="Y325" s="50"/>
      <c r="Z325" s="50"/>
    </row>
    <row r="326" spans="2:26" ht="13.5" customHeight="1">
      <c r="B326" s="23" t="s">
        <v>393</v>
      </c>
      <c r="C326" s="10">
        <v>842907.39</v>
      </c>
      <c r="D326" s="115">
        <v>575774.48</v>
      </c>
      <c r="E326" s="115">
        <v>929799.33</v>
      </c>
      <c r="F326" s="116">
        <v>451110.67</v>
      </c>
      <c r="G326" s="68">
        <f t="shared" si="355"/>
        <v>2799591.87</v>
      </c>
      <c r="H326" s="17"/>
      <c r="J326" s="96" t="str">
        <f t="shared" si="356"/>
        <v>   01/22</v>
      </c>
      <c r="K326" s="29">
        <f t="shared" si="357"/>
        <v>0.9120142580693809</v>
      </c>
      <c r="L326" s="30">
        <f t="shared" si="358"/>
        <v>2.531706433010211</v>
      </c>
      <c r="M326" s="29">
        <f t="shared" si="359"/>
        <v>0.9226726322013881</v>
      </c>
      <c r="N326" s="30">
        <f t="shared" si="360"/>
        <v>1.3675732414108313</v>
      </c>
      <c r="O326" s="29">
        <f t="shared" si="361"/>
        <v>0.9641917508535015</v>
      </c>
      <c r="P326" s="30">
        <f t="shared" si="362"/>
        <v>5.4170322357917975</v>
      </c>
      <c r="Q326" s="30">
        <f t="shared" si="363"/>
        <v>0.9811936744586015</v>
      </c>
      <c r="R326" s="30">
        <f t="shared" si="364"/>
        <v>1.9861955297783784</v>
      </c>
      <c r="S326" s="29">
        <f t="shared" si="365"/>
        <v>0.9418806668247846</v>
      </c>
      <c r="T326" s="30">
        <f t="shared" si="366"/>
        <v>4.077282796955613</v>
      </c>
      <c r="V326" s="50"/>
      <c r="W326" s="50"/>
      <c r="X326" s="50"/>
      <c r="Y326" s="50"/>
      <c r="Z326" s="50"/>
    </row>
    <row r="327" spans="2:26" ht="13.5" customHeight="1">
      <c r="B327" s="23" t="s">
        <v>394</v>
      </c>
      <c r="C327" s="10">
        <v>790767.05</v>
      </c>
      <c r="D327" s="115">
        <v>551067.91</v>
      </c>
      <c r="E327" s="115">
        <v>925315.6</v>
      </c>
      <c r="F327" s="116">
        <v>446916.66</v>
      </c>
      <c r="G327" s="68">
        <f t="shared" si="355"/>
        <v>2714067.22</v>
      </c>
      <c r="H327" s="17"/>
      <c r="J327" s="96" t="str">
        <f t="shared" si="356"/>
        <v>   02/22</v>
      </c>
      <c r="K327" s="29">
        <f t="shared" si="357"/>
        <v>0.9381422673254769</v>
      </c>
      <c r="L327" s="30">
        <f t="shared" si="358"/>
        <v>2.375100813266695</v>
      </c>
      <c r="M327" s="29">
        <f t="shared" si="359"/>
        <v>0.9570898487894081</v>
      </c>
      <c r="N327" s="30">
        <f t="shared" si="360"/>
        <v>1.3088904668303332</v>
      </c>
      <c r="O327" s="29">
        <f t="shared" si="361"/>
        <v>0.9951777444279294</v>
      </c>
      <c r="P327" s="30">
        <f t="shared" si="362"/>
        <v>5.390909921908665</v>
      </c>
      <c r="Q327" s="30">
        <f t="shared" si="363"/>
        <v>0.9907029244065542</v>
      </c>
      <c r="R327" s="30">
        <f t="shared" si="364"/>
        <v>1.9677297197946646</v>
      </c>
      <c r="S327" s="29">
        <f t="shared" si="365"/>
        <v>0.9694510293030677</v>
      </c>
      <c r="T327" s="30">
        <f t="shared" si="366"/>
        <v>3.95272600426831</v>
      </c>
      <c r="V327" s="50"/>
      <c r="W327" s="50"/>
      <c r="X327" s="50"/>
      <c r="Y327" s="50"/>
      <c r="Z327" s="50"/>
    </row>
    <row r="328" spans="2:26" ht="13.5" customHeight="1">
      <c r="B328" s="23" t="s">
        <v>395</v>
      </c>
      <c r="C328" s="10">
        <v>827762.21</v>
      </c>
      <c r="D328" s="115">
        <v>565298.33</v>
      </c>
      <c r="E328" s="115">
        <v>950825.34</v>
      </c>
      <c r="F328" s="116">
        <v>437880.78</v>
      </c>
      <c r="G328" s="68">
        <f t="shared" si="355"/>
        <v>2781766.66</v>
      </c>
      <c r="H328" s="17"/>
      <c r="J328" s="96" t="str">
        <f t="shared" si="356"/>
        <v>   03/22</v>
      </c>
      <c r="K328" s="29">
        <f t="shared" si="357"/>
        <v>1.0467838916656933</v>
      </c>
      <c r="L328" s="30">
        <f t="shared" si="358"/>
        <v>2.486217272409664</v>
      </c>
      <c r="M328" s="29">
        <f t="shared" si="359"/>
        <v>1.025823350882471</v>
      </c>
      <c r="N328" s="30">
        <f t="shared" si="360"/>
        <v>1.342690404622014</v>
      </c>
      <c r="O328" s="29">
        <f t="shared" si="361"/>
        <v>1.027568691157914</v>
      </c>
      <c r="P328" s="30">
        <f t="shared" si="362"/>
        <v>5.539530252605899</v>
      </c>
      <c r="Q328" s="30">
        <f t="shared" si="363"/>
        <v>0.97978173380245</v>
      </c>
      <c r="R328" s="30">
        <f t="shared" si="364"/>
        <v>1.9279456365150256</v>
      </c>
      <c r="S328" s="29">
        <f t="shared" si="365"/>
        <v>1.0249439068793587</v>
      </c>
      <c r="T328" s="30">
        <f t="shared" si="366"/>
        <v>4.051322433638398</v>
      </c>
      <c r="V328" s="50"/>
      <c r="W328" s="50"/>
      <c r="X328" s="50"/>
      <c r="Y328" s="50"/>
      <c r="Z328" s="50"/>
    </row>
    <row r="329" spans="2:26" ht="12.75" customHeight="1">
      <c r="B329" s="23" t="s">
        <v>396</v>
      </c>
      <c r="C329" s="10">
        <v>724609.17</v>
      </c>
      <c r="D329" s="115">
        <v>519097.3</v>
      </c>
      <c r="E329" s="115">
        <v>882681.49</v>
      </c>
      <c r="F329" s="116">
        <v>424022.1</v>
      </c>
      <c r="G329" s="68">
        <f t="shared" si="355"/>
        <v>2550410.06</v>
      </c>
      <c r="H329" s="17"/>
      <c r="J329" s="96" t="str">
        <f aca="true" t="shared" si="367" ref="J329:J337">B329</f>
        <v>   04/22</v>
      </c>
      <c r="K329" s="29">
        <f>C329/C328</f>
        <v>0.8753832456304088</v>
      </c>
      <c r="L329" s="30">
        <f>K329*L328</f>
        <v>2.176392945264354</v>
      </c>
      <c r="M329" s="29">
        <f>D329/D328</f>
        <v>0.918271419623688</v>
      </c>
      <c r="N329" s="30">
        <f>M329*N328</f>
        <v>1.2329542239673608</v>
      </c>
      <c r="O329" s="29">
        <f>E329/E328</f>
        <v>0.9283318953194916</v>
      </c>
      <c r="P329" s="30">
        <f>O329*P328</f>
        <v>5.142522618581296</v>
      </c>
      <c r="Q329" s="30">
        <f>F329/F328</f>
        <v>0.9683505633656722</v>
      </c>
      <c r="R329" s="30">
        <f>Q329*R328</f>
        <v>1.8669272432577144</v>
      </c>
      <c r="S329" s="29">
        <f>G329/G328</f>
        <v>0.9168310544062671</v>
      </c>
      <c r="T329" s="30">
        <f>S329*T328</f>
        <v>3.7143782185724565</v>
      </c>
      <c r="V329" s="50"/>
      <c r="W329" s="50"/>
      <c r="X329" s="50"/>
      <c r="Y329" s="50"/>
      <c r="Z329" s="50"/>
    </row>
    <row r="330" spans="2:26" ht="12.75" customHeight="1">
      <c r="B330" s="23" t="s">
        <v>397</v>
      </c>
      <c r="C330" s="10">
        <v>41400</v>
      </c>
      <c r="D330" s="115">
        <v>28300</v>
      </c>
      <c r="E330" s="115">
        <v>46900</v>
      </c>
      <c r="F330" s="116">
        <v>21900</v>
      </c>
      <c r="G330" s="68">
        <f t="shared" si="355"/>
        <v>138500</v>
      </c>
      <c r="H330" s="17"/>
      <c r="J330" s="96"/>
      <c r="K330" s="29"/>
      <c r="L330" s="30"/>
      <c r="M330" s="29"/>
      <c r="N330" s="30"/>
      <c r="O330" s="29"/>
      <c r="P330" s="30"/>
      <c r="Q330" s="30"/>
      <c r="R330" s="30"/>
      <c r="S330" s="29"/>
      <c r="T330" s="30"/>
      <c r="V330" s="50"/>
      <c r="W330" s="50"/>
      <c r="X330" s="50"/>
      <c r="Y330" s="50"/>
      <c r="Z330" s="50"/>
    </row>
    <row r="331" spans="2:26" ht="12.75" customHeight="1">
      <c r="B331" s="23" t="s">
        <v>398</v>
      </c>
      <c r="C331" s="10">
        <f>C329-C330</f>
        <v>683209.17</v>
      </c>
      <c r="D331" s="10">
        <f>D329-D330</f>
        <v>490797.3</v>
      </c>
      <c r="E331" s="10">
        <f>E329-E330</f>
        <v>835781.49</v>
      </c>
      <c r="F331" s="10">
        <f>F329-F330</f>
        <v>402122.1</v>
      </c>
      <c r="G331" s="68">
        <f t="shared" si="355"/>
        <v>2411910.06</v>
      </c>
      <c r="H331" s="17"/>
      <c r="J331" s="96" t="s">
        <v>155</v>
      </c>
      <c r="K331" s="29"/>
      <c r="L331" s="30"/>
      <c r="M331" s="29"/>
      <c r="N331" s="30"/>
      <c r="O331" s="29"/>
      <c r="P331" s="30"/>
      <c r="Q331" s="30"/>
      <c r="R331" s="30"/>
      <c r="S331" s="29"/>
      <c r="T331" s="30"/>
      <c r="V331" s="50"/>
      <c r="W331" s="50"/>
      <c r="X331" s="50"/>
      <c r="Y331" s="50"/>
      <c r="Z331" s="50"/>
    </row>
    <row r="332" spans="2:26" ht="12.75" customHeight="1">
      <c r="B332" s="23" t="s">
        <v>399</v>
      </c>
      <c r="C332" s="10">
        <v>671629.38</v>
      </c>
      <c r="D332" s="115">
        <v>486229.88</v>
      </c>
      <c r="E332" s="115">
        <v>858516.47</v>
      </c>
      <c r="F332" s="116">
        <v>404438.2</v>
      </c>
      <c r="G332" s="68">
        <f t="shared" si="355"/>
        <v>2420813.93</v>
      </c>
      <c r="H332" s="17"/>
      <c r="J332" s="96" t="str">
        <f t="shared" si="367"/>
        <v>   05/22</v>
      </c>
      <c r="K332" s="29">
        <f aca="true" t="shared" si="368" ref="K332:K337">C332/C331</f>
        <v>0.9830508861583341</v>
      </c>
      <c r="L332" s="30">
        <f>K332*L329</f>
        <v>2.13950501347087</v>
      </c>
      <c r="M332" s="29">
        <f aca="true" t="shared" si="369" ref="M332:M337">D332/D331</f>
        <v>0.9906938770853059</v>
      </c>
      <c r="N332" s="30">
        <f>M332*N329</f>
        <v>1.221480200410929</v>
      </c>
      <c r="O332" s="29">
        <f aca="true" t="shared" si="370" ref="O332:O337">E332/E331</f>
        <v>1.0272020621083628</v>
      </c>
      <c r="P332" s="30">
        <f>O332*P329</f>
        <v>5.282409838245605</v>
      </c>
      <c r="Q332" s="30">
        <f aca="true" t="shared" si="371" ref="Q332:Q337">F332/F331</f>
        <v>1.0057596933866606</v>
      </c>
      <c r="R332" s="30">
        <f>Q332*R329</f>
        <v>1.8776801717540823</v>
      </c>
      <c r="S332" s="29">
        <f aca="true" t="shared" si="372" ref="S332:S337">G332/G331</f>
        <v>1.0036916260467856</v>
      </c>
      <c r="T332" s="30">
        <f>S332*T329</f>
        <v>3.728090313951752</v>
      </c>
      <c r="V332" s="50"/>
      <c r="W332" s="50"/>
      <c r="X332" s="50"/>
      <c r="Y332" s="50"/>
      <c r="Z332" s="50"/>
    </row>
    <row r="333" spans="2:26" ht="12.75" customHeight="1">
      <c r="B333" s="23" t="s">
        <v>400</v>
      </c>
      <c r="C333" s="10">
        <v>656733.86</v>
      </c>
      <c r="D333" s="115">
        <v>452640.13</v>
      </c>
      <c r="E333" s="115">
        <v>755144.24</v>
      </c>
      <c r="F333" s="116">
        <v>396548.58</v>
      </c>
      <c r="G333" s="68">
        <f t="shared" si="355"/>
        <v>2261066.81</v>
      </c>
      <c r="H333" s="17"/>
      <c r="J333" s="96" t="str">
        <f t="shared" si="367"/>
        <v>   06/22</v>
      </c>
      <c r="K333" s="29">
        <f t="shared" si="368"/>
        <v>0.9778218159545075</v>
      </c>
      <c r="L333" s="30">
        <f aca="true" t="shared" si="373" ref="L333:T337">K333*L332</f>
        <v>2.092054677515859</v>
      </c>
      <c r="M333" s="29">
        <f t="shared" si="369"/>
        <v>0.9309179641530875</v>
      </c>
      <c r="N333" s="30">
        <f t="shared" si="373"/>
        <v>1.1370978614198475</v>
      </c>
      <c r="O333" s="29">
        <f t="shared" si="370"/>
        <v>0.8795920246002968</v>
      </c>
      <c r="P333" s="30">
        <f t="shared" si="373"/>
        <v>4.646365564390978</v>
      </c>
      <c r="Q333" s="30">
        <f t="shared" si="371"/>
        <v>0.9804923966133763</v>
      </c>
      <c r="R333" s="30">
        <f t="shared" si="373"/>
        <v>1.841051131676576</v>
      </c>
      <c r="S333" s="29">
        <f t="shared" si="372"/>
        <v>0.9340109877837657</v>
      </c>
      <c r="T333" s="30">
        <f t="shared" si="373"/>
        <v>3.482077316681165</v>
      </c>
      <c r="V333" s="50"/>
      <c r="W333" s="50"/>
      <c r="X333" s="50"/>
      <c r="Y333" s="50"/>
      <c r="Z333" s="50"/>
    </row>
    <row r="334" spans="2:26" ht="12.75" customHeight="1">
      <c r="B334" s="23" t="s">
        <v>401</v>
      </c>
      <c r="C334" s="55">
        <v>705317.12</v>
      </c>
      <c r="D334" s="67">
        <v>496510.2</v>
      </c>
      <c r="E334" s="67">
        <v>819893.66</v>
      </c>
      <c r="F334" s="116">
        <v>406386.28</v>
      </c>
      <c r="G334" s="68">
        <f t="shared" si="355"/>
        <v>2428107.26</v>
      </c>
      <c r="H334" s="17"/>
      <c r="J334" s="96" t="str">
        <f t="shared" si="367"/>
        <v>   07/22</v>
      </c>
      <c r="K334" s="29">
        <f t="shared" si="368"/>
        <v>1.0739770902021102</v>
      </c>
      <c r="L334" s="30">
        <f t="shared" si="373"/>
        <v>2.2468187951021963</v>
      </c>
      <c r="M334" s="29">
        <f t="shared" si="369"/>
        <v>1.0969204166674307</v>
      </c>
      <c r="N334" s="30">
        <f t="shared" si="373"/>
        <v>1.2473058599403035</v>
      </c>
      <c r="O334" s="29">
        <f t="shared" si="370"/>
        <v>1.0857444400290996</v>
      </c>
      <c r="P334" s="30">
        <f t="shared" si="373"/>
        <v>5.044765577880174</v>
      </c>
      <c r="Q334" s="30">
        <f t="shared" si="371"/>
        <v>1.0248083097410159</v>
      </c>
      <c r="R334" s="30">
        <f t="shared" si="373"/>
        <v>1.8867244984002565</v>
      </c>
      <c r="S334" s="29">
        <f t="shared" si="372"/>
        <v>1.073876830733719</v>
      </c>
      <c r="T334" s="30">
        <f t="shared" si="373"/>
        <v>3.739322153207342</v>
      </c>
      <c r="V334" s="50"/>
      <c r="W334" s="50"/>
      <c r="X334" s="50"/>
      <c r="Y334" s="50"/>
      <c r="Z334" s="50"/>
    </row>
    <row r="335" spans="2:26" ht="13.5" customHeight="1">
      <c r="B335" s="23" t="s">
        <v>402</v>
      </c>
      <c r="C335" s="10">
        <v>680420.99</v>
      </c>
      <c r="D335" s="115">
        <v>477713.73</v>
      </c>
      <c r="E335" s="115">
        <v>801654.39</v>
      </c>
      <c r="F335" s="116">
        <v>395322.25</v>
      </c>
      <c r="G335" s="68">
        <f t="shared" si="355"/>
        <v>2355111.36</v>
      </c>
      <c r="H335" s="17"/>
      <c r="J335" s="96" t="str">
        <f t="shared" si="367"/>
        <v>   08/22</v>
      </c>
      <c r="K335" s="29">
        <f t="shared" si="368"/>
        <v>0.9647022179186576</v>
      </c>
      <c r="L335" s="30">
        <f t="shared" si="373"/>
        <v>2.1675110748964146</v>
      </c>
      <c r="M335" s="29">
        <f t="shared" si="369"/>
        <v>0.9621428321110019</v>
      </c>
      <c r="N335" s="30">
        <f t="shared" si="373"/>
        <v>1.2000863925916123</v>
      </c>
      <c r="O335" s="29">
        <f t="shared" si="370"/>
        <v>0.9777541028918311</v>
      </c>
      <c r="P335" s="30">
        <f t="shared" si="373"/>
        <v>4.932540241899819</v>
      </c>
      <c r="Q335" s="30">
        <f t="shared" si="371"/>
        <v>0.972774597606986</v>
      </c>
      <c r="R335" s="30">
        <f t="shared" si="373"/>
        <v>1.8353576647265522</v>
      </c>
      <c r="S335" s="29">
        <f t="shared" si="372"/>
        <v>0.9699371188404585</v>
      </c>
      <c r="T335" s="30">
        <f t="shared" si="373"/>
        <v>3.6269073556982288</v>
      </c>
      <c r="V335" s="50"/>
      <c r="W335" s="50"/>
      <c r="X335" s="50"/>
      <c r="Y335" s="50"/>
      <c r="Z335" s="50"/>
    </row>
    <row r="336" spans="2:26" ht="13.5" customHeight="1">
      <c r="B336" s="23" t="s">
        <v>403</v>
      </c>
      <c r="C336" s="10">
        <v>625203.61</v>
      </c>
      <c r="D336" s="115">
        <v>436513.43</v>
      </c>
      <c r="E336" s="115">
        <v>711750.42</v>
      </c>
      <c r="F336" s="116">
        <v>377710.66</v>
      </c>
      <c r="G336" s="68">
        <f t="shared" si="355"/>
        <v>2151178.12</v>
      </c>
      <c r="H336" s="17"/>
      <c r="J336" s="96" t="str">
        <f t="shared" si="367"/>
        <v>   09/22</v>
      </c>
      <c r="K336" s="29">
        <f t="shared" si="368"/>
        <v>0.9188482118989304</v>
      </c>
      <c r="L336" s="30">
        <f t="shared" si="373"/>
        <v>1.9916136754396991</v>
      </c>
      <c r="M336" s="29">
        <f t="shared" si="369"/>
        <v>0.9137552525442382</v>
      </c>
      <c r="N336" s="30">
        <f t="shared" si="373"/>
        <v>1.0965852447374524</v>
      </c>
      <c r="O336" s="29">
        <f t="shared" si="370"/>
        <v>0.8878519582484916</v>
      </c>
      <c r="P336" s="30">
        <f t="shared" si="373"/>
        <v>4.379365512910242</v>
      </c>
      <c r="Q336" s="30">
        <f t="shared" si="371"/>
        <v>0.9554500410740857</v>
      </c>
      <c r="R336" s="30">
        <f t="shared" si="373"/>
        <v>1.7535925561486223</v>
      </c>
      <c r="S336" s="29">
        <f t="shared" si="372"/>
        <v>0.9134082390057344</v>
      </c>
      <c r="T336" s="30">
        <f t="shared" si="373"/>
        <v>3.312847060805264</v>
      </c>
      <c r="V336" s="50"/>
      <c r="W336" s="50"/>
      <c r="X336" s="50"/>
      <c r="Y336" s="50"/>
      <c r="Z336" s="50"/>
    </row>
    <row r="337" spans="2:26" ht="13.5" customHeight="1">
      <c r="B337" s="23" t="s">
        <v>404</v>
      </c>
      <c r="C337" s="10">
        <v>633798.48</v>
      </c>
      <c r="D337" s="115">
        <v>468048</v>
      </c>
      <c r="E337" s="115">
        <v>786528.68</v>
      </c>
      <c r="F337" s="116">
        <v>376407.33</v>
      </c>
      <c r="G337" s="68">
        <f t="shared" si="355"/>
        <v>2264782.49</v>
      </c>
      <c r="H337" s="17"/>
      <c r="J337" s="96" t="str">
        <f t="shared" si="367"/>
        <v>   10/22</v>
      </c>
      <c r="K337" s="29">
        <f t="shared" si="368"/>
        <v>1.0137473134552117</v>
      </c>
      <c r="L337" s="30">
        <f t="shared" si="373"/>
        <v>2.018993012917655</v>
      </c>
      <c r="M337" s="29">
        <f t="shared" si="369"/>
        <v>1.0722419239197292</v>
      </c>
      <c r="N337" s="30">
        <f t="shared" si="373"/>
        <v>1.175804672559273</v>
      </c>
      <c r="O337" s="29">
        <f t="shared" si="370"/>
        <v>1.1050624740059865</v>
      </c>
      <c r="P337" s="30">
        <f t="shared" si="373"/>
        <v>4.839472488273088</v>
      </c>
      <c r="Q337" s="30">
        <f t="shared" si="371"/>
        <v>0.9965493957729444</v>
      </c>
      <c r="R337" s="30">
        <f t="shared" si="373"/>
        <v>1.7475416022618426</v>
      </c>
      <c r="S337" s="29">
        <f t="shared" si="372"/>
        <v>1.0528103037790288</v>
      </c>
      <c r="T337" s="30">
        <f t="shared" si="373"/>
        <v>3.487799520459853</v>
      </c>
      <c r="V337" s="50"/>
      <c r="W337" s="50"/>
      <c r="X337" s="50"/>
      <c r="Y337" s="50"/>
      <c r="Z337" s="50"/>
    </row>
    <row r="338" spans="2:26" ht="13.5" customHeight="1" thickBot="1">
      <c r="B338" s="111"/>
      <c r="C338" s="101"/>
      <c r="D338" s="112"/>
      <c r="E338" s="112"/>
      <c r="F338" s="113"/>
      <c r="G338" s="105"/>
      <c r="H338" s="20"/>
      <c r="J338" s="96"/>
      <c r="V338" s="50"/>
      <c r="W338" s="50"/>
      <c r="X338" s="50"/>
      <c r="Y338" s="50"/>
      <c r="Z338" s="50"/>
    </row>
    <row r="339" spans="2:20" ht="13.5" customHeight="1" thickTop="1">
      <c r="B339" s="103"/>
      <c r="C339" s="8" t="s">
        <v>66</v>
      </c>
      <c r="D339" s="8" t="str">
        <f>D6</f>
        <v>Small Cap/ESG</v>
      </c>
      <c r="E339" s="8" t="s">
        <v>2</v>
      </c>
      <c r="F339" s="8" t="s">
        <v>54</v>
      </c>
      <c r="G339" s="68"/>
      <c r="H339" s="104"/>
      <c r="J339" s="57" t="s">
        <v>349</v>
      </c>
      <c r="K339" s="83"/>
      <c r="L339" s="79">
        <f>L335/L327-1</f>
        <v>-0.0874024955954451</v>
      </c>
      <c r="M339" s="83"/>
      <c r="N339" s="79">
        <f>N335/N327-1</f>
        <v>-0.08312695141114868</v>
      </c>
      <c r="O339" s="83" t="s">
        <v>155</v>
      </c>
      <c r="P339" s="79">
        <f>P335/P327-1</f>
        <v>-0.08502640308383391</v>
      </c>
      <c r="Q339" s="83" t="s">
        <v>155</v>
      </c>
      <c r="R339" s="79">
        <f>R335/R327-1</f>
        <v>-0.06727146199831024</v>
      </c>
      <c r="S339" s="84" t="s">
        <v>155</v>
      </c>
      <c r="T339" s="79">
        <f>T335/T327-1</f>
        <v>-0.08242884738741041</v>
      </c>
    </row>
    <row r="340" spans="3:20" ht="13.5" customHeight="1">
      <c r="C340" s="22"/>
      <c r="D340" s="8"/>
      <c r="E340" s="8"/>
      <c r="F340" s="22" t="s">
        <v>0</v>
      </c>
      <c r="G340"/>
      <c r="J340" s="57" t="s">
        <v>116</v>
      </c>
      <c r="K340" s="37"/>
      <c r="L340" s="124" t="s">
        <v>155</v>
      </c>
      <c r="M340" s="62"/>
      <c r="N340" s="124" t="s">
        <v>155</v>
      </c>
      <c r="O340" s="62" t="s">
        <v>155</v>
      </c>
      <c r="P340" s="124" t="s">
        <v>155</v>
      </c>
      <c r="Q340" s="62" t="s">
        <v>155</v>
      </c>
      <c r="R340" s="124" t="s">
        <v>155</v>
      </c>
      <c r="S340" s="62" t="s">
        <v>155</v>
      </c>
      <c r="T340" s="124" t="s">
        <v>155</v>
      </c>
    </row>
    <row r="341" spans="7:20" ht="13.5" customHeight="1">
      <c r="G341"/>
      <c r="J341" s="58" t="s">
        <v>106</v>
      </c>
      <c r="K341" s="37"/>
      <c r="L341" s="80">
        <f>L335/L321-1</f>
        <v>-0.22019359697452645</v>
      </c>
      <c r="M341" s="62"/>
      <c r="N341" s="80">
        <f>N335/N321-1</f>
        <v>-0.19328006037556877</v>
      </c>
      <c r="O341" s="62" t="s">
        <v>155</v>
      </c>
      <c r="P341" s="80">
        <f>P335/P321-1</f>
        <v>-0.049550521698939476</v>
      </c>
      <c r="Q341" s="62" t="s">
        <v>155</v>
      </c>
      <c r="R341" s="80">
        <f>R335/R321-1</f>
        <v>-0.1017625737675063</v>
      </c>
      <c r="S341" s="62" t="s">
        <v>155</v>
      </c>
      <c r="T341" s="80">
        <f>T335/T321-1</f>
        <v>-0.1432066521108014</v>
      </c>
    </row>
    <row r="342" spans="2:20" ht="13.5" customHeight="1">
      <c r="B342" s="60"/>
      <c r="C342" s="126" t="s">
        <v>155</v>
      </c>
      <c r="D342" s="114" t="s">
        <v>155</v>
      </c>
      <c r="E342" s="114" t="s">
        <v>155</v>
      </c>
      <c r="F342" s="114" t="s">
        <v>155</v>
      </c>
      <c r="G342" s="114" t="s">
        <v>155</v>
      </c>
      <c r="H342" s="60"/>
      <c r="J342" s="58" t="s">
        <v>107</v>
      </c>
      <c r="K342" s="37"/>
      <c r="L342" s="80">
        <f>(L335/L294)^0.33333333333-1</f>
        <v>0.11042681703842905</v>
      </c>
      <c r="M342" s="62"/>
      <c r="N342" s="80">
        <f>(N335/N294)^0.33333333333-1</f>
        <v>0.037697854918121054</v>
      </c>
      <c r="O342" s="62" t="s">
        <v>155</v>
      </c>
      <c r="P342" s="80">
        <f>(P335/P294)^0.33333333333-1</f>
        <v>0.10586629005386383</v>
      </c>
      <c r="Q342" s="62" t="s">
        <v>155</v>
      </c>
      <c r="R342" s="80">
        <f>(R335/R294)^0.33333333333-1</f>
        <v>-0.014636973821240518</v>
      </c>
      <c r="S342" s="62" t="s">
        <v>155</v>
      </c>
      <c r="T342" s="80">
        <f>(T335/T294)^0.33333333333-1</f>
        <v>0.08003618131700141</v>
      </c>
    </row>
    <row r="343" spans="2:25" ht="13.5" customHeight="1" thickBot="1">
      <c r="B343" s="60"/>
      <c r="C343" s="127"/>
      <c r="D343" s="60"/>
      <c r="E343" s="60"/>
      <c r="F343" s="60"/>
      <c r="G343" s="60"/>
      <c r="H343" s="60"/>
      <c r="J343" s="58" t="s">
        <v>122</v>
      </c>
      <c r="K343" s="41"/>
      <c r="L343" s="81">
        <f>(L335/L9)^(12/269)-1</f>
        <v>0.035111473129622484</v>
      </c>
      <c r="M343" s="63"/>
      <c r="N343" s="81">
        <f>(N335/N285)^(12/42)-1</f>
        <v>0.05349419315756321</v>
      </c>
      <c r="O343" s="63" t="s">
        <v>155</v>
      </c>
      <c r="P343" s="81">
        <f>(P335/P9)^(12/269)-1</f>
        <v>0.07378578216824594</v>
      </c>
      <c r="Q343" s="63"/>
      <c r="R343" s="81">
        <f>(R335/R37)^(12/244)-1</f>
        <v>0.03031464025170605</v>
      </c>
      <c r="S343" s="63"/>
      <c r="T343" s="81">
        <f>(T335/T9)^(12/269)-1</f>
        <v>0.059157959793445736</v>
      </c>
      <c r="V343" s="54" t="s">
        <v>102</v>
      </c>
      <c r="W343" s="54" t="s">
        <v>1</v>
      </c>
      <c r="X343" s="54" t="s">
        <v>2</v>
      </c>
      <c r="Y343" s="54" t="s">
        <v>103</v>
      </c>
    </row>
    <row r="344" spans="2:25" ht="13.5" customHeight="1">
      <c r="B344" s="60"/>
      <c r="C344" s="127"/>
      <c r="D344" s="60"/>
      <c r="E344" s="60"/>
      <c r="F344" s="60"/>
      <c r="G344" s="60"/>
      <c r="H344" s="60"/>
      <c r="J344" s="58" t="s">
        <v>348</v>
      </c>
      <c r="K344" s="31" t="s">
        <v>46</v>
      </c>
      <c r="L344" s="31"/>
      <c r="M344" s="31" t="s">
        <v>347</v>
      </c>
      <c r="N344" s="31"/>
      <c r="O344" s="31" t="s">
        <v>48</v>
      </c>
      <c r="P344" s="31"/>
      <c r="Q344" s="31" t="s">
        <v>49</v>
      </c>
      <c r="R344" s="31"/>
      <c r="S344" s="31" t="s">
        <v>50</v>
      </c>
      <c r="V344" s="54"/>
      <c r="W344" s="54"/>
      <c r="X344" s="54"/>
      <c r="Y344" s="54"/>
    </row>
    <row r="345" spans="3:7" ht="13.5" customHeight="1" thickBot="1">
      <c r="C345" s="3"/>
      <c r="D345" s="3"/>
      <c r="E345" s="3"/>
      <c r="F345" s="3"/>
      <c r="G345" s="4"/>
    </row>
    <row r="346" spans="3:20" ht="13.5" customHeight="1">
      <c r="C346" s="3"/>
      <c r="D346" s="3"/>
      <c r="E346" s="3"/>
      <c r="F346" s="3"/>
      <c r="G346" s="4"/>
      <c r="K346" s="33"/>
      <c r="L346" s="34"/>
      <c r="M346" s="35"/>
      <c r="N346" s="35"/>
      <c r="O346" s="35"/>
      <c r="P346" s="35"/>
      <c r="Q346" s="34"/>
      <c r="R346" s="34"/>
      <c r="S346" s="35"/>
      <c r="T346" s="36"/>
    </row>
    <row r="347" spans="3:20" ht="12.75">
      <c r="C347" s="3"/>
      <c r="D347" s="3"/>
      <c r="E347" s="3"/>
      <c r="F347" s="3"/>
      <c r="G347" s="4"/>
      <c r="K347" s="37"/>
      <c r="L347" s="38" t="s">
        <v>60</v>
      </c>
      <c r="M347" s="39"/>
      <c r="N347" s="39"/>
      <c r="O347" s="39"/>
      <c r="P347" s="39"/>
      <c r="Q347" s="38"/>
      <c r="R347" s="38"/>
      <c r="S347" s="39"/>
      <c r="T347" s="40"/>
    </row>
    <row r="348" spans="3:20" ht="12.75">
      <c r="C348" s="3"/>
      <c r="D348" s="3"/>
      <c r="E348" s="3"/>
      <c r="F348" s="3"/>
      <c r="G348" s="4"/>
      <c r="K348" s="37"/>
      <c r="L348" s="38"/>
      <c r="M348" s="39" t="s">
        <v>57</v>
      </c>
      <c r="N348" s="39"/>
      <c r="O348" s="39"/>
      <c r="P348" s="39"/>
      <c r="Q348" s="38"/>
      <c r="R348" s="38"/>
      <c r="S348" s="39"/>
      <c r="T348" s="40"/>
    </row>
    <row r="349" spans="3:20" ht="12.75">
      <c r="C349" s="3"/>
      <c r="D349" s="3"/>
      <c r="E349" s="3"/>
      <c r="F349" s="3"/>
      <c r="G349" s="4"/>
      <c r="K349" s="37"/>
      <c r="L349" s="38"/>
      <c r="M349" s="39" t="s">
        <v>58</v>
      </c>
      <c r="N349" s="39"/>
      <c r="O349" s="39"/>
      <c r="P349" s="39"/>
      <c r="Q349" s="39"/>
      <c r="R349" s="39"/>
      <c r="S349" s="39"/>
      <c r="T349" s="40"/>
    </row>
    <row r="350" spans="3:20" ht="12.75">
      <c r="C350" s="3"/>
      <c r="D350" s="3"/>
      <c r="E350" s="3"/>
      <c r="F350" s="3"/>
      <c r="G350" s="4"/>
      <c r="K350" s="37"/>
      <c r="L350" s="39"/>
      <c r="M350" s="39"/>
      <c r="N350" s="39"/>
      <c r="O350" s="39"/>
      <c r="P350" s="39"/>
      <c r="Q350" s="39"/>
      <c r="R350" s="39"/>
      <c r="S350" s="39"/>
      <c r="T350" s="40"/>
    </row>
    <row r="351" spans="3:20" ht="12.75">
      <c r="C351" s="3"/>
      <c r="D351" s="3"/>
      <c r="E351" s="3"/>
      <c r="F351" s="3"/>
      <c r="G351" s="4"/>
      <c r="K351" s="37"/>
      <c r="L351" s="39" t="s">
        <v>59</v>
      </c>
      <c r="M351" s="39"/>
      <c r="N351" s="39"/>
      <c r="O351" s="39"/>
      <c r="P351" s="39"/>
      <c r="Q351" s="39"/>
      <c r="R351" s="39"/>
      <c r="S351" s="39"/>
      <c r="T351" s="40"/>
    </row>
    <row r="352" spans="3:20" ht="13.5" thickBot="1">
      <c r="C352" s="3"/>
      <c r="D352" s="3"/>
      <c r="E352" s="3"/>
      <c r="F352" s="3"/>
      <c r="G352" s="4"/>
      <c r="K352" s="41"/>
      <c r="L352" s="42"/>
      <c r="M352" s="42"/>
      <c r="N352" s="42"/>
      <c r="O352" s="42"/>
      <c r="P352" s="42"/>
      <c r="Q352" s="42"/>
      <c r="R352" s="42"/>
      <c r="S352" s="42"/>
      <c r="T352" s="43"/>
    </row>
    <row r="353" spans="3:7" ht="12.75">
      <c r="C353" s="3"/>
      <c r="D353" s="3"/>
      <c r="E353" s="3"/>
      <c r="F353" s="3"/>
      <c r="G353" s="4"/>
    </row>
    <row r="354" spans="3:7" ht="12.75">
      <c r="C354" s="3"/>
      <c r="D354" s="3"/>
      <c r="E354" s="3"/>
      <c r="F354" s="3"/>
      <c r="G354" s="4"/>
    </row>
    <row r="355" spans="3:7" ht="12.75">
      <c r="C355" s="3"/>
      <c r="D355" s="3"/>
      <c r="E355" s="3"/>
      <c r="F355" s="3"/>
      <c r="G355" s="4"/>
    </row>
    <row r="356" spans="3:12" ht="12.75">
      <c r="C356" s="3"/>
      <c r="D356" s="3"/>
      <c r="E356" s="3"/>
      <c r="F356" s="3"/>
      <c r="G356" s="4"/>
      <c r="L356">
        <f>22*12+5</f>
        <v>269</v>
      </c>
    </row>
    <row r="357" spans="3:7" ht="12.75">
      <c r="C357" s="3"/>
      <c r="D357" s="3"/>
      <c r="E357" s="3"/>
      <c r="F357" s="3"/>
      <c r="G357" s="4"/>
    </row>
    <row r="358" spans="3:7" ht="12.75">
      <c r="C358" s="3"/>
      <c r="D358" s="3"/>
      <c r="E358" s="3"/>
      <c r="F358" s="3"/>
      <c r="G358" s="4"/>
    </row>
    <row r="359" spans="3:13" ht="12.75">
      <c r="C359" s="3"/>
      <c r="D359" s="3"/>
      <c r="E359" s="3"/>
      <c r="F359" s="3"/>
      <c r="G359" s="4"/>
      <c r="L359" t="s">
        <v>155</v>
      </c>
      <c r="M359" t="s">
        <v>155</v>
      </c>
    </row>
    <row r="360" spans="3:7" ht="12.75">
      <c r="C360" s="3"/>
      <c r="D360" s="3"/>
      <c r="E360" s="3"/>
      <c r="F360" s="3"/>
      <c r="G360" s="4"/>
    </row>
    <row r="361" spans="11:19" ht="12.75"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11:19" ht="12.75">
      <c r="K362" s="108"/>
      <c r="L362" s="108"/>
      <c r="M362" s="108"/>
      <c r="N362" s="108"/>
      <c r="O362" s="108"/>
      <c r="P362" s="108"/>
      <c r="Q362" s="108"/>
      <c r="R362" s="108"/>
      <c r="S362" s="108"/>
    </row>
    <row r="371" ht="12.75">
      <c r="B371" s="28" t="s">
        <v>55</v>
      </c>
    </row>
    <row r="373" ht="12.75">
      <c r="B373" t="s">
        <v>8</v>
      </c>
    </row>
    <row r="374" ht="12.75">
      <c r="B374" t="s">
        <v>7</v>
      </c>
    </row>
    <row r="375" ht="12.75">
      <c r="B375" t="s">
        <v>9</v>
      </c>
    </row>
    <row r="376" ht="12.75">
      <c r="B376" t="s">
        <v>10</v>
      </c>
    </row>
  </sheetData>
  <sheetProtection/>
  <mergeCells count="2">
    <mergeCell ref="B1:C1"/>
    <mergeCell ref="V6:Y6"/>
  </mergeCells>
  <printOptions/>
  <pageMargins left="0.75" right="0.75" top="0.5" bottom="0.75" header="0.5" footer="0.5"/>
  <pageSetup fitToHeight="3" fitToWidth="1" horizontalDpi="600" verticalDpi="600" orientation="portrait" scale="40"/>
  <colBreaks count="1" manualBreakCount="1">
    <brk id="9" max="5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7109375" style="0" customWidth="1"/>
    <col min="3" max="5" width="12.7109375" style="1" customWidth="1"/>
    <col min="6" max="6" width="12.7109375" style="2" customWidth="1"/>
    <col min="7" max="7" width="5.7109375" style="0" customWidth="1"/>
  </cols>
  <sheetData>
    <row r="1" spans="1:3" ht="12.75">
      <c r="A1" s="5"/>
      <c r="B1" s="128"/>
      <c r="C1" s="129"/>
    </row>
    <row r="3" spans="3:6" ht="12.75">
      <c r="C3" s="3"/>
      <c r="D3" s="3"/>
      <c r="E3" s="3"/>
      <c r="F3" s="4"/>
    </row>
    <row r="4" spans="3:6" ht="12.75">
      <c r="C4" s="3"/>
      <c r="D4" s="3"/>
      <c r="E4" s="3"/>
      <c r="F4" s="4"/>
    </row>
    <row r="5" spans="3:6" ht="12.75">
      <c r="C5" s="3"/>
      <c r="D5" s="3"/>
      <c r="E5" s="3"/>
      <c r="F5" s="4"/>
    </row>
    <row r="6" spans="3:6" ht="12.75">
      <c r="C6" s="3"/>
      <c r="D6" s="3"/>
      <c r="E6" s="3"/>
      <c r="F6" s="4"/>
    </row>
    <row r="7" spans="3:6" ht="12.75">
      <c r="C7" s="3"/>
      <c r="D7" s="3"/>
      <c r="E7" s="3"/>
      <c r="F7" s="4"/>
    </row>
    <row r="8" spans="3:6" ht="12.75">
      <c r="C8" s="3"/>
      <c r="D8" s="3"/>
      <c r="E8" s="3"/>
      <c r="F8" s="4"/>
    </row>
    <row r="9" spans="3:6" ht="12.75">
      <c r="C9" s="3"/>
      <c r="D9" s="3"/>
      <c r="E9" s="3"/>
      <c r="F9" s="4"/>
    </row>
    <row r="10" spans="3:6" ht="12.75">
      <c r="C10" s="3"/>
      <c r="D10" s="3"/>
      <c r="E10" s="3"/>
      <c r="F10" s="4"/>
    </row>
    <row r="11" spans="3:6" ht="12.75">
      <c r="C11" s="3"/>
      <c r="D11" s="3"/>
      <c r="E11" s="3"/>
      <c r="F11" s="4"/>
    </row>
    <row r="12" spans="3:6" ht="12.75">
      <c r="C12" s="3"/>
      <c r="D12" s="3"/>
      <c r="E12" s="3"/>
      <c r="F12" s="4"/>
    </row>
    <row r="13" spans="3:6" ht="12.75">
      <c r="C13" s="3"/>
      <c r="D13" s="3"/>
      <c r="E13" s="3"/>
      <c r="F13" s="4"/>
    </row>
    <row r="14" spans="3:6" ht="12.75">
      <c r="C14" s="3"/>
      <c r="D14" s="3"/>
      <c r="E14" s="3"/>
      <c r="F14" s="4"/>
    </row>
    <row r="15" spans="3:6" ht="12.75">
      <c r="C15" s="3"/>
      <c r="D15" s="3"/>
      <c r="E15" s="3"/>
      <c r="F15" s="4"/>
    </row>
    <row r="16" spans="3:6" ht="12.75">
      <c r="C16" s="3"/>
      <c r="D16" s="3"/>
      <c r="E16" s="3"/>
      <c r="F16" s="4"/>
    </row>
    <row r="17" spans="3:6" ht="12.75">
      <c r="C17" s="3"/>
      <c r="D17" s="3"/>
      <c r="E17" s="3"/>
      <c r="F17" s="4"/>
    </row>
    <row r="18" spans="3:6" ht="12.75">
      <c r="C18" s="3"/>
      <c r="D18" s="3"/>
      <c r="E18" s="3"/>
      <c r="F18" s="4"/>
    </row>
    <row r="19" spans="3:6" ht="12.75">
      <c r="C19" s="3"/>
      <c r="D19" s="3"/>
      <c r="E19" s="3"/>
      <c r="F19" s="4"/>
    </row>
    <row r="20" spans="3:6" ht="12.75">
      <c r="C20" s="3"/>
      <c r="D20" s="3"/>
      <c r="E20" s="3"/>
      <c r="F20" s="4"/>
    </row>
    <row r="33" ht="12.75">
      <c r="B33" t="s">
        <v>8</v>
      </c>
    </row>
    <row r="34" ht="12.75">
      <c r="B34" t="s">
        <v>7</v>
      </c>
    </row>
    <row r="35" ht="12.75">
      <c r="B35" t="s">
        <v>9</v>
      </c>
    </row>
    <row r="36" ht="12.75">
      <c r="B36" t="s">
        <v>10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7" width="10.7109375" style="0" customWidth="1"/>
    <col min="8" max="8" width="2.00390625" style="0" customWidth="1"/>
  </cols>
  <sheetData>
    <row r="1" ht="13.5" thickBot="1"/>
    <row r="2" spans="2:8" ht="13.5" thickTop="1">
      <c r="B2" s="12" t="s">
        <v>170</v>
      </c>
      <c r="C2" s="47"/>
      <c r="D2" s="47"/>
      <c r="E2" s="47"/>
      <c r="F2" s="47"/>
      <c r="G2" s="47"/>
      <c r="H2" s="15"/>
    </row>
    <row r="3" spans="2:8" ht="12.75">
      <c r="B3" s="23" t="s">
        <v>171</v>
      </c>
      <c r="C3" s="8"/>
      <c r="D3" s="8"/>
      <c r="E3" s="8"/>
      <c r="F3" s="8"/>
      <c r="G3" s="9"/>
      <c r="H3" s="17"/>
    </row>
    <row r="4" spans="2:8" ht="12.75">
      <c r="B4" s="23" t="str">
        <f>Sheet1!J15</f>
        <v>   08/00</v>
      </c>
      <c r="C4" s="73">
        <f>Sheet1!U15</f>
        <v>0.05466666666666642</v>
      </c>
      <c r="D4" s="74" t="s">
        <v>172</v>
      </c>
      <c r="E4" s="8"/>
      <c r="F4" s="22"/>
      <c r="G4" s="9"/>
      <c r="H4" s="17"/>
    </row>
    <row r="5" spans="2:8" ht="12.75">
      <c r="B5" s="23" t="str">
        <f>Sheet1!J29</f>
        <v>   08/01</v>
      </c>
      <c r="C5" s="73">
        <f>Sheet1!U29</f>
        <v>0.048538080330264854</v>
      </c>
      <c r="D5" s="6"/>
      <c r="E5" s="6"/>
      <c r="F5" s="6"/>
      <c r="G5" s="7"/>
      <c r="H5" s="17"/>
    </row>
    <row r="6" spans="2:8" ht="12.75">
      <c r="B6" s="23" t="str">
        <f>Sheet1!J44</f>
        <v>   08/02</v>
      </c>
      <c r="C6" s="73">
        <f>Sheet1!U44</f>
        <v>-0.09939254404426034</v>
      </c>
      <c r="D6" s="10"/>
      <c r="E6" s="10"/>
      <c r="F6" s="10"/>
      <c r="G6" s="11"/>
      <c r="H6" s="17"/>
    </row>
    <row r="7" spans="2:8" ht="12.75">
      <c r="B7" s="23" t="str">
        <f>Sheet1!J58</f>
        <v>   08/03</v>
      </c>
      <c r="C7" s="73">
        <f>Sheet1!U58</f>
        <v>0.11272552074341724</v>
      </c>
      <c r="D7" s="10"/>
      <c r="E7" s="10"/>
      <c r="F7" s="10"/>
      <c r="G7" s="11"/>
      <c r="H7" s="17"/>
    </row>
    <row r="8" spans="2:8" ht="12.75">
      <c r="B8" s="23" t="str">
        <f>Sheet1!J72</f>
        <v>   08/04</v>
      </c>
      <c r="C8" s="73">
        <f>Sheet1!U72</f>
        <v>0.07613031377361534</v>
      </c>
      <c r="D8" s="10"/>
      <c r="E8" s="10"/>
      <c r="F8" s="10"/>
      <c r="G8" s="11"/>
      <c r="H8" s="17"/>
    </row>
    <row r="9" spans="2:8" ht="12.75">
      <c r="B9" s="23" t="str">
        <f>Sheet1!J88</f>
        <v>   08/05</v>
      </c>
      <c r="C9" s="73">
        <f>Sheet1!U88</f>
        <v>0.12678231719956656</v>
      </c>
      <c r="D9" s="10"/>
      <c r="E9" s="10"/>
      <c r="F9" s="10"/>
      <c r="G9" s="11"/>
      <c r="H9" s="17"/>
    </row>
    <row r="10" spans="2:8" ht="12.75">
      <c r="B10" s="23" t="str">
        <f>Sheet1!J102</f>
        <v>   08/06</v>
      </c>
      <c r="C10" s="73">
        <f>Sheet1!U102</f>
        <v>0.05860180299998485</v>
      </c>
      <c r="D10" s="10"/>
      <c r="E10" s="10"/>
      <c r="F10" s="10"/>
      <c r="G10" s="11"/>
      <c r="H10" s="17"/>
    </row>
    <row r="11" spans="2:8" ht="12.75">
      <c r="B11" s="23" t="str">
        <f>Sheet1!J116</f>
        <v>   08/07</v>
      </c>
      <c r="C11" s="73">
        <f>Sheet1!U116</f>
        <v>0.09187786380354734</v>
      </c>
      <c r="D11" s="10"/>
      <c r="E11" s="10"/>
      <c r="F11" s="10"/>
      <c r="G11" s="11"/>
      <c r="H11" s="17"/>
    </row>
    <row r="12" spans="2:8" ht="12.75">
      <c r="B12" s="23" t="str">
        <f>Sheet1!J130</f>
        <v>   08/08</v>
      </c>
      <c r="C12" s="73">
        <f>Sheet1!U130</f>
        <v>-0.06364248122837535</v>
      </c>
      <c r="D12" s="10"/>
      <c r="E12" s="10"/>
      <c r="F12" s="10"/>
      <c r="G12" s="11"/>
      <c r="H12" s="17"/>
    </row>
    <row r="13" spans="2:8" ht="12.75">
      <c r="B13" s="23"/>
      <c r="C13" s="73"/>
      <c r="D13" s="10"/>
      <c r="E13" s="10"/>
      <c r="F13" s="10"/>
      <c r="G13" s="11"/>
      <c r="H13" s="17"/>
    </row>
    <row r="14" spans="2:8" ht="12.75">
      <c r="B14" s="45"/>
      <c r="C14" s="10"/>
      <c r="D14" s="10"/>
      <c r="E14" s="10"/>
      <c r="F14" s="10"/>
      <c r="G14" s="11"/>
      <c r="H14" s="17"/>
    </row>
    <row r="15" spans="2:8" ht="13.5" thickBot="1">
      <c r="B15" s="19"/>
      <c r="C15" s="48"/>
      <c r="D15" s="48"/>
      <c r="E15" s="48"/>
      <c r="F15" s="48"/>
      <c r="G15" s="48"/>
      <c r="H15" s="20"/>
    </row>
    <row r="16" ht="13.5" thickTop="1"/>
  </sheetData>
  <sheetProtection/>
  <printOptions/>
  <pageMargins left="0.75" right="0.75" top="1" bottom="1" header="0.5" footer="0.5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A18" sqref="A18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1.140625" style="0" customWidth="1"/>
    <col min="4" max="4" width="9.7109375" style="0" bestFit="1" customWidth="1"/>
    <col min="5" max="5" width="10.7109375" style="0" customWidth="1"/>
  </cols>
  <sheetData>
    <row r="2" ht="12.75">
      <c r="C2" t="s">
        <v>96</v>
      </c>
    </row>
    <row r="3" spans="2:4" ht="12.75">
      <c r="B3" s="51" t="s">
        <v>97</v>
      </c>
      <c r="C3" s="49">
        <f>-Sheet1!G24</f>
        <v>94100</v>
      </c>
      <c r="D3" s="49">
        <f>C3</f>
        <v>94100</v>
      </c>
    </row>
    <row r="4" spans="2:4" ht="12.75">
      <c r="B4" s="51" t="s">
        <v>98</v>
      </c>
      <c r="C4" s="49">
        <f>-Sheet1!G38</f>
        <v>97340</v>
      </c>
      <c r="D4" s="49">
        <f>D3+C4</f>
        <v>191440</v>
      </c>
    </row>
    <row r="5" spans="2:9" ht="12.75">
      <c r="B5" s="51" t="s">
        <v>99</v>
      </c>
      <c r="C5" s="49">
        <f>-Sheet1!G53</f>
        <v>77385</v>
      </c>
      <c r="D5" s="49">
        <f>D4+C5</f>
        <v>268825</v>
      </c>
      <c r="F5" s="8" t="s">
        <v>66</v>
      </c>
      <c r="G5" s="8" t="s">
        <v>1</v>
      </c>
      <c r="H5" s="8" t="s">
        <v>2</v>
      </c>
      <c r="I5" s="8" t="s">
        <v>54</v>
      </c>
    </row>
    <row r="6" spans="2:9" ht="12.75">
      <c r="B6" s="51" t="s">
        <v>100</v>
      </c>
      <c r="C6" s="49">
        <f>-Sheet1!G68</f>
        <v>96440</v>
      </c>
      <c r="D6" s="49">
        <f>D5+C6</f>
        <v>365265</v>
      </c>
      <c r="F6" s="22"/>
      <c r="G6" s="8"/>
      <c r="H6" s="8"/>
      <c r="I6" s="22" t="s">
        <v>0</v>
      </c>
    </row>
    <row r="7" spans="2:4" ht="12.75">
      <c r="B7" s="51" t="s">
        <v>119</v>
      </c>
      <c r="C7" s="49">
        <f>-Sheet1!G83</f>
        <v>95855</v>
      </c>
      <c r="D7" s="49">
        <f>D6+C7</f>
        <v>461120</v>
      </c>
    </row>
    <row r="8" spans="2:10" ht="12.75">
      <c r="B8" s="51" t="s">
        <v>138</v>
      </c>
      <c r="C8" s="49">
        <f>-Sheet1!G97</f>
        <v>101725</v>
      </c>
      <c r="D8" s="49">
        <f>D7+C8</f>
        <v>562845</v>
      </c>
      <c r="F8">
        <v>444500</v>
      </c>
      <c r="G8">
        <v>594600</v>
      </c>
      <c r="H8">
        <v>530300</v>
      </c>
      <c r="I8">
        <v>459300</v>
      </c>
      <c r="J8" s="11">
        <f>SUM(F8:I8)</f>
        <v>2028700</v>
      </c>
    </row>
    <row r="9" spans="5:10" ht="12.75">
      <c r="E9" s="71">
        <v>39172</v>
      </c>
      <c r="F9" s="70">
        <f>379875.14-45955+110574.22</f>
        <v>444494.36</v>
      </c>
      <c r="G9" s="67">
        <v>594590.82</v>
      </c>
      <c r="H9" s="69">
        <f>530351.78-81.3</f>
        <v>530270.48</v>
      </c>
      <c r="I9" s="69">
        <f>400730.04+45955+12571.46</f>
        <v>459256.5</v>
      </c>
      <c r="J9" s="11">
        <f>SUM(F9:I9)</f>
        <v>2028612.16</v>
      </c>
    </row>
    <row r="10" spans="5:10" ht="12.75">
      <c r="E10" t="s">
        <v>146</v>
      </c>
      <c r="F10" s="49">
        <f>F9*0.05</f>
        <v>22224.718</v>
      </c>
      <c r="G10" s="49">
        <f>G9*0.05</f>
        <v>29729.540999999997</v>
      </c>
      <c r="H10" s="49">
        <f>H9*0.05</f>
        <v>26513.524</v>
      </c>
      <c r="I10" s="49">
        <f>I9*0.05</f>
        <v>22962.825</v>
      </c>
      <c r="J10" s="49">
        <f>J9*0.05</f>
        <v>101430.60800000001</v>
      </c>
    </row>
    <row r="11" spans="5:10" ht="12.75">
      <c r="E11" t="s">
        <v>146</v>
      </c>
      <c r="F11" s="49">
        <f>F8*0.05</f>
        <v>22225</v>
      </c>
      <c r="G11" s="49">
        <f>G8*0.05</f>
        <v>29730</v>
      </c>
      <c r="H11" s="49">
        <f>H8*0.05</f>
        <v>26515</v>
      </c>
      <c r="I11" s="49">
        <f>I8*0.05</f>
        <v>22965</v>
      </c>
      <c r="J11" s="49">
        <f>J8*0.05</f>
        <v>101435</v>
      </c>
    </row>
  </sheetData>
  <sheetProtection/>
  <printOptions/>
  <pageMargins left="0.75" right="0.75" top="1" bottom="1" header="0.5" footer="0.5"/>
  <pageSetup horizontalDpi="1200" verticalDpi="12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5"/>
  <sheetViews>
    <sheetView zoomScalePageLayoutView="0" workbookViewId="0" topLeftCell="A240">
      <selection activeCell="A279" sqref="A279:F279"/>
    </sheetView>
  </sheetViews>
  <sheetFormatPr defaultColWidth="8.8515625" defaultRowHeight="12.75"/>
  <cols>
    <col min="1" max="1" width="12.421875" style="0" customWidth="1"/>
    <col min="2" max="5" width="8.8515625" style="0" customWidth="1"/>
    <col min="6" max="6" width="10.140625" style="0" bestFit="1" customWidth="1"/>
  </cols>
  <sheetData>
    <row r="1" spans="1:7" ht="16.5" thickTop="1">
      <c r="A1" s="12"/>
      <c r="B1" s="21" t="s">
        <v>3</v>
      </c>
      <c r="C1" s="13"/>
      <c r="D1" s="13"/>
      <c r="E1" s="13"/>
      <c r="F1" s="14"/>
      <c r="G1" s="15"/>
    </row>
    <row r="2" spans="1:7" ht="12.75">
      <c r="A2" s="16"/>
      <c r="B2" s="6"/>
      <c r="C2" s="6"/>
      <c r="D2" s="6"/>
      <c r="E2" s="6"/>
      <c r="F2" s="7"/>
      <c r="G2" s="17"/>
    </row>
    <row r="3" spans="1:7" ht="12.75">
      <c r="A3" s="23" t="s">
        <v>4</v>
      </c>
      <c r="B3" s="8" t="s">
        <v>66</v>
      </c>
      <c r="C3" s="8" t="s">
        <v>1</v>
      </c>
      <c r="D3" s="8" t="s">
        <v>2</v>
      </c>
      <c r="E3" s="8" t="s">
        <v>54</v>
      </c>
      <c r="F3" s="9" t="s">
        <v>6</v>
      </c>
      <c r="G3" s="17"/>
    </row>
    <row r="4" spans="1:7" ht="12.75">
      <c r="A4" s="23" t="s">
        <v>5</v>
      </c>
      <c r="B4" s="22"/>
      <c r="C4" s="8"/>
      <c r="D4" s="8"/>
      <c r="E4" s="22" t="s">
        <v>0</v>
      </c>
      <c r="F4" s="9"/>
      <c r="G4" s="17"/>
    </row>
    <row r="5" spans="1:7" ht="12.75">
      <c r="A5" s="16"/>
      <c r="B5" s="6"/>
      <c r="C5" s="6"/>
      <c r="D5" s="6"/>
      <c r="E5" s="6"/>
      <c r="F5" s="7"/>
      <c r="G5" s="17"/>
    </row>
    <row r="6" spans="1:7" ht="12.75">
      <c r="A6" s="18" t="s">
        <v>43</v>
      </c>
      <c r="B6" s="10">
        <v>600000</v>
      </c>
      <c r="C6" s="10">
        <v>600000</v>
      </c>
      <c r="D6" s="10">
        <v>600000</v>
      </c>
      <c r="E6" s="10"/>
      <c r="F6" s="11">
        <f aca="true" t="shared" si="0" ref="F6:F32">SUM(B6:D6)</f>
        <v>1800000</v>
      </c>
      <c r="G6" s="17"/>
    </row>
    <row r="7" spans="1:7" ht="12.75">
      <c r="A7" s="18" t="s">
        <v>11</v>
      </c>
      <c r="B7" s="10">
        <v>604500</v>
      </c>
      <c r="C7" s="10">
        <v>594800</v>
      </c>
      <c r="D7" s="10">
        <v>612600</v>
      </c>
      <c r="E7" s="10"/>
      <c r="F7" s="11">
        <f t="shared" si="0"/>
        <v>1811900</v>
      </c>
      <c r="G7" s="17"/>
    </row>
    <row r="8" spans="1:7" ht="12.75">
      <c r="A8" s="16" t="s">
        <v>12</v>
      </c>
      <c r="B8" s="10">
        <v>592100</v>
      </c>
      <c r="C8" s="10">
        <v>578600</v>
      </c>
      <c r="D8" s="10">
        <v>616300</v>
      </c>
      <c r="E8" s="10"/>
      <c r="F8" s="11">
        <f t="shared" si="0"/>
        <v>1787000</v>
      </c>
      <c r="G8" s="17"/>
    </row>
    <row r="9" spans="1:7" ht="12.75">
      <c r="A9" s="16" t="s">
        <v>13</v>
      </c>
      <c r="B9" s="10">
        <v>564100</v>
      </c>
      <c r="C9" s="10">
        <v>558200</v>
      </c>
      <c r="D9" s="10">
        <v>633000</v>
      </c>
      <c r="E9" s="10"/>
      <c r="F9" s="11">
        <f t="shared" si="0"/>
        <v>1755300</v>
      </c>
      <c r="G9" s="17"/>
    </row>
    <row r="10" spans="1:7" ht="12.75">
      <c r="A10" s="16" t="s">
        <v>14</v>
      </c>
      <c r="B10" s="10">
        <v>576500</v>
      </c>
      <c r="C10" s="10">
        <v>573000</v>
      </c>
      <c r="D10" s="10">
        <v>620200</v>
      </c>
      <c r="E10" s="10"/>
      <c r="F10" s="11">
        <f t="shared" si="0"/>
        <v>1769700</v>
      </c>
      <c r="G10" s="17"/>
    </row>
    <row r="11" spans="1:7" ht="12.75">
      <c r="A11" s="16" t="s">
        <v>15</v>
      </c>
      <c r="B11" s="10">
        <v>577800</v>
      </c>
      <c r="C11" s="10">
        <v>583800</v>
      </c>
      <c r="D11" s="10">
        <v>633600</v>
      </c>
      <c r="E11" s="10"/>
      <c r="F11" s="11">
        <f t="shared" si="0"/>
        <v>1795200</v>
      </c>
      <c r="G11" s="17"/>
    </row>
    <row r="12" spans="1:7" ht="12.75">
      <c r="A12" s="16" t="s">
        <v>16</v>
      </c>
      <c r="B12" s="10">
        <v>600200</v>
      </c>
      <c r="C12" s="10">
        <v>637000</v>
      </c>
      <c r="D12" s="10">
        <v>661200</v>
      </c>
      <c r="E12" s="10"/>
      <c r="F12" s="11">
        <f t="shared" si="0"/>
        <v>1898400</v>
      </c>
      <c r="G12" s="17"/>
    </row>
    <row r="13" spans="1:7" ht="12.75">
      <c r="A13" s="16" t="s">
        <v>17</v>
      </c>
      <c r="B13" s="10">
        <v>596200</v>
      </c>
      <c r="C13" s="10">
        <v>645600</v>
      </c>
      <c r="D13" s="10">
        <v>666900</v>
      </c>
      <c r="E13" s="10"/>
      <c r="F13" s="11">
        <f t="shared" si="0"/>
        <v>1908700</v>
      </c>
      <c r="G13" s="17"/>
    </row>
    <row r="14" spans="1:7" ht="12.75">
      <c r="A14" s="16" t="s">
        <v>18</v>
      </c>
      <c r="B14" s="10">
        <v>587800</v>
      </c>
      <c r="C14" s="10">
        <v>670900</v>
      </c>
      <c r="D14" s="10">
        <v>676500</v>
      </c>
      <c r="E14" s="10"/>
      <c r="F14" s="11">
        <f t="shared" si="0"/>
        <v>1935200</v>
      </c>
      <c r="G14" s="17"/>
    </row>
    <row r="15" spans="1:7" ht="12.75">
      <c r="A15" s="16" t="s">
        <v>19</v>
      </c>
      <c r="B15" s="10">
        <v>553500</v>
      </c>
      <c r="C15" s="10">
        <v>631700</v>
      </c>
      <c r="D15" s="10">
        <v>663400</v>
      </c>
      <c r="E15" s="10"/>
      <c r="F15" s="11">
        <f t="shared" si="0"/>
        <v>1848600</v>
      </c>
      <c r="G15" s="17"/>
    </row>
    <row r="16" spans="1:7" ht="12.75">
      <c r="A16" s="16" t="s">
        <v>20</v>
      </c>
      <c r="B16" s="10">
        <v>571300</v>
      </c>
      <c r="C16" s="10">
        <v>643800</v>
      </c>
      <c r="D16" s="10">
        <v>696300</v>
      </c>
      <c r="E16" s="10"/>
      <c r="F16" s="11">
        <f t="shared" si="0"/>
        <v>1911400</v>
      </c>
      <c r="G16" s="17"/>
    </row>
    <row r="17" spans="1:7" ht="12.75">
      <c r="A17" s="16" t="s">
        <v>21</v>
      </c>
      <c r="B17" s="10">
        <v>581000</v>
      </c>
      <c r="C17" s="10">
        <v>673100</v>
      </c>
      <c r="D17" s="10">
        <v>734200</v>
      </c>
      <c r="E17" s="10"/>
      <c r="F17" s="11">
        <f t="shared" si="0"/>
        <v>1988300</v>
      </c>
      <c r="G17" s="17"/>
    </row>
    <row r="18" spans="1:7" ht="12.75">
      <c r="A18" s="16" t="s">
        <v>22</v>
      </c>
      <c r="B18" s="10">
        <v>549800</v>
      </c>
      <c r="C18" s="10">
        <v>654300</v>
      </c>
      <c r="D18" s="10">
        <v>709600</v>
      </c>
      <c r="E18" s="10"/>
      <c r="F18" s="11">
        <f t="shared" si="0"/>
        <v>1913700</v>
      </c>
      <c r="G18" s="17"/>
    </row>
    <row r="19" spans="1:7" ht="12.75">
      <c r="A19" s="16" t="s">
        <v>23</v>
      </c>
      <c r="B19" s="10">
        <v>537400</v>
      </c>
      <c r="C19" s="10">
        <v>634700</v>
      </c>
      <c r="D19" s="10">
        <v>709100</v>
      </c>
      <c r="E19" s="10"/>
      <c r="F19" s="11">
        <f t="shared" si="0"/>
        <v>1881200</v>
      </c>
      <c r="G19" s="17"/>
    </row>
    <row r="20" spans="1:7" ht="12.75">
      <c r="A20" s="16" t="s">
        <v>24</v>
      </c>
      <c r="B20" s="10">
        <v>568400</v>
      </c>
      <c r="C20" s="10">
        <v>668100</v>
      </c>
      <c r="D20" s="10">
        <v>740500</v>
      </c>
      <c r="E20" s="10"/>
      <c r="F20" s="11">
        <f t="shared" si="0"/>
        <v>1977000</v>
      </c>
      <c r="G20" s="17"/>
    </row>
    <row r="21" spans="1:7" ht="12.75">
      <c r="A21" s="16" t="s">
        <v>27</v>
      </c>
      <c r="B21" s="10">
        <v>539900</v>
      </c>
      <c r="C21" s="10">
        <v>648800</v>
      </c>
      <c r="D21" s="10">
        <v>723800</v>
      </c>
      <c r="E21" s="10"/>
      <c r="F21" s="11">
        <f t="shared" si="0"/>
        <v>1912500</v>
      </c>
      <c r="G21" s="17"/>
    </row>
    <row r="22" spans="1:7" ht="12.75">
      <c r="A22" s="16" t="s">
        <v>28</v>
      </c>
      <c r="B22" s="10">
        <v>529500</v>
      </c>
      <c r="C22" s="10">
        <v>664900</v>
      </c>
      <c r="D22" s="10">
        <v>716900</v>
      </c>
      <c r="E22" s="10"/>
      <c r="F22" s="11">
        <f t="shared" si="0"/>
        <v>1911300</v>
      </c>
      <c r="G22" s="17"/>
    </row>
    <row r="23" spans="1:7" ht="12.75">
      <c r="A23" s="16" t="s">
        <v>29</v>
      </c>
      <c r="B23" s="10">
        <v>527400</v>
      </c>
      <c r="C23" s="10">
        <v>664900</v>
      </c>
      <c r="D23" s="10">
        <v>746700</v>
      </c>
      <c r="E23" s="10"/>
      <c r="F23" s="11">
        <f t="shared" si="0"/>
        <v>1939000</v>
      </c>
      <c r="G23" s="17"/>
    </row>
    <row r="24" spans="1:7" ht="12.75">
      <c r="A24" s="16" t="s">
        <v>30</v>
      </c>
      <c r="B24" s="10">
        <v>506100</v>
      </c>
      <c r="C24" s="10">
        <v>657200</v>
      </c>
      <c r="D24" s="10">
        <v>732500</v>
      </c>
      <c r="E24" s="10"/>
      <c r="F24" s="11">
        <f t="shared" si="0"/>
        <v>1895800</v>
      </c>
      <c r="G24" s="17"/>
    </row>
    <row r="25" spans="1:7" ht="12.75">
      <c r="A25" s="16" t="s">
        <v>31</v>
      </c>
      <c r="B25" s="10">
        <v>469300</v>
      </c>
      <c r="C25" s="10">
        <v>599200</v>
      </c>
      <c r="D25" s="10">
        <v>669000</v>
      </c>
      <c r="E25" s="10"/>
      <c r="F25" s="11">
        <f t="shared" si="0"/>
        <v>1737500</v>
      </c>
      <c r="G25" s="17"/>
    </row>
    <row r="26" spans="1:7" ht="12.75">
      <c r="A26" s="16" t="s">
        <v>32</v>
      </c>
      <c r="B26" s="10">
        <v>480700</v>
      </c>
      <c r="C26" s="10">
        <v>625800</v>
      </c>
      <c r="D26" s="10">
        <v>681400</v>
      </c>
      <c r="E26" s="10"/>
      <c r="F26" s="11">
        <f t="shared" si="0"/>
        <v>1787900</v>
      </c>
      <c r="G26" s="17"/>
    </row>
    <row r="27" spans="1:7" ht="12.75">
      <c r="A27" s="16" t="s">
        <v>33</v>
      </c>
      <c r="B27" s="10">
        <v>507900</v>
      </c>
      <c r="C27" s="10">
        <v>651200</v>
      </c>
      <c r="D27" s="10">
        <v>722200</v>
      </c>
      <c r="E27" s="10"/>
      <c r="F27" s="11">
        <f t="shared" si="0"/>
        <v>1881300</v>
      </c>
      <c r="G27" s="17"/>
    </row>
    <row r="28" spans="1:7" ht="12.75">
      <c r="A28" s="16" t="s">
        <v>34</v>
      </c>
      <c r="B28" s="10">
        <v>518500</v>
      </c>
      <c r="C28" s="10">
        <v>673000</v>
      </c>
      <c r="D28" s="10">
        <v>746400</v>
      </c>
      <c r="E28" s="10"/>
      <c r="F28" s="11">
        <f t="shared" si="0"/>
        <v>1937900</v>
      </c>
      <c r="G28" s="17"/>
    </row>
    <row r="29" spans="1:7" ht="12.75">
      <c r="A29" s="16" t="s">
        <v>35</v>
      </c>
      <c r="B29" s="10">
        <v>497100</v>
      </c>
      <c r="C29" s="10">
        <v>675600</v>
      </c>
      <c r="D29" s="10">
        <v>736000</v>
      </c>
      <c r="E29" s="10"/>
      <c r="F29" s="11">
        <f t="shared" si="0"/>
        <v>1908700</v>
      </c>
      <c r="G29" s="17"/>
    </row>
    <row r="30" spans="1:7" ht="12.75">
      <c r="A30" s="16" t="s">
        <v>36</v>
      </c>
      <c r="B30" s="10">
        <v>482600</v>
      </c>
      <c r="C30" s="10">
        <v>669900</v>
      </c>
      <c r="D30" s="10">
        <v>724000</v>
      </c>
      <c r="E30" s="10"/>
      <c r="F30" s="11">
        <f t="shared" si="0"/>
        <v>1876500</v>
      </c>
      <c r="G30" s="17"/>
    </row>
    <row r="31" spans="1:7" ht="12.75">
      <c r="A31" s="16" t="s">
        <v>38</v>
      </c>
      <c r="B31" s="10">
        <v>488500</v>
      </c>
      <c r="C31" s="10">
        <v>695400</v>
      </c>
      <c r="D31" s="10">
        <v>763000</v>
      </c>
      <c r="E31" s="10"/>
      <c r="F31" s="11">
        <f t="shared" si="0"/>
        <v>1946900</v>
      </c>
      <c r="G31" s="17"/>
    </row>
    <row r="32" spans="1:7" ht="12.75">
      <c r="A32" s="16" t="s">
        <v>37</v>
      </c>
      <c r="B32" s="10">
        <v>444100</v>
      </c>
      <c r="C32" s="10">
        <v>709900</v>
      </c>
      <c r="D32" s="10">
        <v>739500</v>
      </c>
      <c r="E32" s="10"/>
      <c r="F32" s="11">
        <f t="shared" si="0"/>
        <v>1893500</v>
      </c>
      <c r="G32" s="17"/>
    </row>
    <row r="33" spans="1:7" ht="12.75">
      <c r="A33" s="16" t="s">
        <v>42</v>
      </c>
      <c r="B33" s="10">
        <v>285100</v>
      </c>
      <c r="C33" s="10">
        <v>490500</v>
      </c>
      <c r="D33" s="10">
        <v>501300</v>
      </c>
      <c r="E33" s="10">
        <v>501300</v>
      </c>
      <c r="F33" s="11">
        <f aca="true" t="shared" si="1" ref="F33:F44">SUM(B33:E33)</f>
        <v>1778200</v>
      </c>
      <c r="G33" s="17"/>
    </row>
    <row r="34" spans="1:7" ht="12.75">
      <c r="A34" s="16" t="s">
        <v>51</v>
      </c>
      <c r="B34" s="10">
        <f>249000+3000</f>
        <v>252000</v>
      </c>
      <c r="C34" s="10">
        <v>477700</v>
      </c>
      <c r="D34" s="10">
        <v>470500</v>
      </c>
      <c r="E34" s="10">
        <f>424900+76000</f>
        <v>500900</v>
      </c>
      <c r="F34" s="11">
        <f t="shared" si="1"/>
        <v>1701100</v>
      </c>
      <c r="G34" s="17"/>
    </row>
    <row r="35" spans="1:7" ht="12.75">
      <c r="A35" s="16" t="s">
        <v>52</v>
      </c>
      <c r="B35" s="10">
        <f>229200+3000</f>
        <v>232200</v>
      </c>
      <c r="C35" s="10">
        <v>433300</v>
      </c>
      <c r="D35" s="10">
        <v>431000</v>
      </c>
      <c r="E35" s="10">
        <f>425800+75500+1800</f>
        <v>503100</v>
      </c>
      <c r="F35" s="11">
        <f t="shared" si="1"/>
        <v>1599600</v>
      </c>
      <c r="G35" s="17"/>
    </row>
    <row r="36" spans="1:7" ht="12.75">
      <c r="A36" s="16" t="s">
        <v>53</v>
      </c>
      <c r="B36" s="10">
        <f>230100+3000</f>
        <v>233100</v>
      </c>
      <c r="C36" s="10">
        <v>448000</v>
      </c>
      <c r="D36" s="10">
        <v>428400</v>
      </c>
      <c r="E36" s="10">
        <f>430900+82200-3000</f>
        <v>510100</v>
      </c>
      <c r="F36" s="11">
        <f t="shared" si="1"/>
        <v>1619600</v>
      </c>
      <c r="G36" s="17"/>
    </row>
    <row r="37" spans="1:7" ht="12.75">
      <c r="A37" s="45" t="s">
        <v>63</v>
      </c>
      <c r="B37" s="10">
        <f>208100+3000</f>
        <v>211100</v>
      </c>
      <c r="C37" s="10">
        <v>431500</v>
      </c>
      <c r="D37" s="10">
        <v>375200</v>
      </c>
      <c r="E37" s="10">
        <f>433300+84200-3000</f>
        <v>514500</v>
      </c>
      <c r="F37" s="11">
        <f t="shared" si="1"/>
        <v>1532300</v>
      </c>
      <c r="G37" s="17"/>
    </row>
    <row r="38" spans="1:7" ht="12.75">
      <c r="A38" s="45" t="s">
        <v>64</v>
      </c>
      <c r="B38" s="10">
        <f>199800+28000</f>
        <v>227800</v>
      </c>
      <c r="C38" s="10">
        <v>428900</v>
      </c>
      <c r="D38" s="10">
        <v>371200</v>
      </c>
      <c r="E38" s="10">
        <f>489800+27000</f>
        <v>516800</v>
      </c>
      <c r="F38" s="11">
        <f t="shared" si="1"/>
        <v>1544700</v>
      </c>
      <c r="G38" s="17"/>
    </row>
    <row r="39" spans="1:7" ht="12.75">
      <c r="A39" s="45" t="s">
        <v>65</v>
      </c>
      <c r="B39" s="10">
        <f>218700+14100</f>
        <v>232800</v>
      </c>
      <c r="C39" s="10">
        <v>443000</v>
      </c>
      <c r="D39" s="10">
        <v>386200</v>
      </c>
      <c r="E39" s="10">
        <f>490700+30100</f>
        <v>520800</v>
      </c>
      <c r="F39" s="11">
        <f t="shared" si="1"/>
        <v>1582800</v>
      </c>
      <c r="G39" s="17"/>
    </row>
    <row r="40" spans="1:7" ht="12.75">
      <c r="A40" s="45" t="s">
        <v>67</v>
      </c>
      <c r="B40" s="10">
        <f>197900+20900</f>
        <v>218800</v>
      </c>
      <c r="C40" s="10">
        <v>432000</v>
      </c>
      <c r="D40" s="10">
        <v>372100</v>
      </c>
      <c r="E40" s="10">
        <f>499900+32300</f>
        <v>532200</v>
      </c>
      <c r="F40" s="11">
        <f t="shared" si="1"/>
        <v>1555100</v>
      </c>
      <c r="G40" s="17"/>
    </row>
    <row r="41" spans="1:7" ht="12.75">
      <c r="A41" s="45" t="s">
        <v>68</v>
      </c>
      <c r="B41" s="10">
        <f>195900+20700</f>
        <v>216600</v>
      </c>
      <c r="C41" s="10">
        <v>418800</v>
      </c>
      <c r="D41" s="10">
        <v>370500</v>
      </c>
      <c r="E41" s="10">
        <f>497900+33900</f>
        <v>531800</v>
      </c>
      <c r="F41" s="11">
        <f t="shared" si="1"/>
        <v>1537700</v>
      </c>
      <c r="G41" s="17"/>
    </row>
    <row r="42" spans="1:7" ht="12.75">
      <c r="A42" s="45" t="s">
        <v>69</v>
      </c>
      <c r="B42" s="10">
        <f>192300+20700+100</f>
        <v>213100</v>
      </c>
      <c r="C42" s="10">
        <v>412800</v>
      </c>
      <c r="D42" s="10">
        <v>352500</v>
      </c>
      <c r="E42" s="10">
        <f>502800+35800</f>
        <v>538600</v>
      </c>
      <c r="F42" s="11">
        <f t="shared" si="1"/>
        <v>1517000</v>
      </c>
      <c r="G42" s="17"/>
    </row>
    <row r="43" spans="1:7" ht="12.75">
      <c r="A43" s="45" t="s">
        <v>70</v>
      </c>
      <c r="B43" s="10">
        <f>195200+24200</f>
        <v>219400</v>
      </c>
      <c r="C43" s="10">
        <v>426100</v>
      </c>
      <c r="D43" s="10">
        <v>362700</v>
      </c>
      <c r="E43" s="10">
        <f>501900+37600</f>
        <v>539500</v>
      </c>
      <c r="F43" s="11">
        <f t="shared" si="1"/>
        <v>1547700</v>
      </c>
      <c r="G43" s="17"/>
    </row>
    <row r="44" spans="1:7" ht="12.75">
      <c r="A44" s="45" t="s">
        <v>71</v>
      </c>
      <c r="B44" s="10">
        <f>204600+33600</f>
        <v>238200</v>
      </c>
      <c r="C44" s="10">
        <v>451500</v>
      </c>
      <c r="D44" s="10">
        <v>386500</v>
      </c>
      <c r="E44" s="10">
        <f>506800+39200</f>
        <v>546000</v>
      </c>
      <c r="F44" s="11">
        <f t="shared" si="1"/>
        <v>1622200</v>
      </c>
      <c r="G44" s="17"/>
    </row>
    <row r="45" spans="1:7" ht="12.75">
      <c r="A45" s="45" t="s">
        <v>74</v>
      </c>
      <c r="B45" s="10">
        <f>228500+10600</f>
        <v>239100</v>
      </c>
      <c r="C45" s="10">
        <v>467200</v>
      </c>
      <c r="D45" s="10">
        <v>395600</v>
      </c>
      <c r="E45" s="10">
        <f>515500+14300</f>
        <v>529800</v>
      </c>
      <c r="F45" s="11">
        <f aca="true" t="shared" si="2" ref="F45:F57">SUM(B45:E45)</f>
        <v>1631700</v>
      </c>
      <c r="G45" s="17"/>
    </row>
    <row r="46" spans="1:7" ht="12.75">
      <c r="A46" s="45" t="s">
        <v>75</v>
      </c>
      <c r="B46" s="10">
        <f>227200+10900</f>
        <v>238100</v>
      </c>
      <c r="C46" s="10">
        <v>474200</v>
      </c>
      <c r="D46" s="10">
        <v>410600</v>
      </c>
      <c r="E46" s="10">
        <f>513400+16100</f>
        <v>529500</v>
      </c>
      <c r="F46" s="11">
        <f t="shared" si="2"/>
        <v>1652400</v>
      </c>
      <c r="G46" s="17"/>
    </row>
    <row r="47" spans="1:7" ht="12.75">
      <c r="A47" s="45" t="s">
        <v>76</v>
      </c>
      <c r="B47" s="10">
        <f>238500+10600</f>
        <v>249100</v>
      </c>
      <c r="C47" s="10">
        <v>489600</v>
      </c>
      <c r="D47" s="10">
        <v>430600</v>
      </c>
      <c r="E47" s="10">
        <f>491200+17400</f>
        <v>508600</v>
      </c>
      <c r="F47" s="11">
        <f t="shared" si="2"/>
        <v>1677900</v>
      </c>
      <c r="G47" s="17"/>
    </row>
    <row r="48" spans="1:7" ht="12.75">
      <c r="A48" s="45" t="s">
        <v>77</v>
      </c>
      <c r="B48" s="10">
        <f>222400+27600</f>
        <v>250000</v>
      </c>
      <c r="C48" s="10">
        <v>507500</v>
      </c>
      <c r="D48" s="10">
        <f>446000</f>
        <v>446000</v>
      </c>
      <c r="E48" s="10">
        <f>493700+19000</f>
        <v>512700</v>
      </c>
      <c r="F48" s="11">
        <f t="shared" si="2"/>
        <v>1716200</v>
      </c>
      <c r="G48" s="17"/>
    </row>
    <row r="49" spans="1:7" ht="12.75">
      <c r="A49" s="45" t="s">
        <v>78</v>
      </c>
      <c r="B49" s="10">
        <f>185100+59700</f>
        <v>244800</v>
      </c>
      <c r="C49" s="10">
        <v>498400</v>
      </c>
      <c r="D49" s="10">
        <v>442000</v>
      </c>
      <c r="E49" s="10">
        <f>507500+20600</f>
        <v>528100</v>
      </c>
      <c r="F49" s="11">
        <f t="shared" si="2"/>
        <v>1713300</v>
      </c>
      <c r="G49" s="17"/>
    </row>
    <row r="50" spans="1:7" ht="12.75">
      <c r="A50" s="16" t="s">
        <v>79</v>
      </c>
      <c r="B50" s="10">
        <f>222000+34000</f>
        <v>256000</v>
      </c>
      <c r="C50" s="10">
        <v>528300</v>
      </c>
      <c r="D50" s="10">
        <v>462800</v>
      </c>
      <c r="E50" s="10">
        <f>501600+22000</f>
        <v>523600</v>
      </c>
      <c r="F50" s="11">
        <f t="shared" si="2"/>
        <v>1770700</v>
      </c>
      <c r="G50" s="17"/>
    </row>
    <row r="51" spans="1:7" ht="12.75">
      <c r="A51" s="16" t="s">
        <v>80</v>
      </c>
      <c r="B51" s="10">
        <f>231982+29678+40</f>
        <v>261700</v>
      </c>
      <c r="C51" s="10">
        <v>556700</v>
      </c>
      <c r="D51" s="10">
        <v>476400</v>
      </c>
      <c r="E51" s="10">
        <f>501360+23520+20</f>
        <v>524900</v>
      </c>
      <c r="F51" s="11">
        <f t="shared" si="2"/>
        <v>1819700</v>
      </c>
      <c r="G51" s="17"/>
    </row>
    <row r="52" spans="1:7" ht="12.75">
      <c r="A52" s="16" t="s">
        <v>81</v>
      </c>
      <c r="B52" s="10">
        <f>263400+3400</f>
        <v>266800</v>
      </c>
      <c r="C52" s="10">
        <v>586200</v>
      </c>
      <c r="D52" s="10">
        <v>490000</v>
      </c>
      <c r="E52" s="10">
        <f>503800+25500</f>
        <v>529300</v>
      </c>
      <c r="F52" s="11">
        <f t="shared" si="2"/>
        <v>1872300</v>
      </c>
      <c r="G52" s="17"/>
    </row>
    <row r="53" spans="1:7" ht="12.75">
      <c r="A53" s="16" t="s">
        <v>82</v>
      </c>
      <c r="B53" s="10">
        <f>271400+3100</f>
        <v>274500</v>
      </c>
      <c r="C53" s="10">
        <v>596700</v>
      </c>
      <c r="D53" s="10">
        <v>499600</v>
      </c>
      <c r="E53" s="10">
        <f>507700+26300</f>
        <v>534000</v>
      </c>
      <c r="F53" s="11">
        <f t="shared" si="2"/>
        <v>1904800</v>
      </c>
      <c r="G53" s="17"/>
    </row>
    <row r="54" spans="1:7" ht="12.75">
      <c r="A54" s="16" t="s">
        <v>83</v>
      </c>
      <c r="B54" s="10">
        <f>244300+30800</f>
        <v>275100</v>
      </c>
      <c r="C54" s="10">
        <v>594800</v>
      </c>
      <c r="D54" s="10">
        <v>507100</v>
      </c>
      <c r="E54" s="10">
        <f>512200+27300</f>
        <v>539500</v>
      </c>
      <c r="F54" s="11">
        <f t="shared" si="2"/>
        <v>1916500</v>
      </c>
      <c r="G54" s="17"/>
    </row>
    <row r="55" spans="1:7" ht="12.75">
      <c r="A55" s="16" t="s">
        <v>84</v>
      </c>
      <c r="B55" s="10">
        <f>268300+11800</f>
        <v>280100</v>
      </c>
      <c r="C55" s="10">
        <f>608400+100</f>
        <v>608500</v>
      </c>
      <c r="D55" s="10">
        <v>497600</v>
      </c>
      <c r="E55" s="10">
        <f>514200+28400</f>
        <v>542600</v>
      </c>
      <c r="F55" s="11">
        <f t="shared" si="2"/>
        <v>1928800</v>
      </c>
      <c r="G55" s="17"/>
    </row>
    <row r="56" spans="1:7" ht="12.75">
      <c r="A56" s="16" t="s">
        <v>85</v>
      </c>
      <c r="B56" s="10">
        <f>223700+24400+6300+15600</f>
        <v>270000</v>
      </c>
      <c r="C56" s="10">
        <v>591000</v>
      </c>
      <c r="D56" s="10">
        <v>485100</v>
      </c>
      <c r="E56" s="10">
        <f>183700+238100+78300+29100-100</f>
        <v>529100</v>
      </c>
      <c r="F56" s="11">
        <f t="shared" si="2"/>
        <v>1875200</v>
      </c>
      <c r="G56" s="17"/>
    </row>
    <row r="57" spans="1:7" ht="12.75">
      <c r="A57" s="16" t="s">
        <v>86</v>
      </c>
      <c r="B57" s="10">
        <f>258800+12700</f>
        <v>271500</v>
      </c>
      <c r="C57" s="10">
        <v>603100</v>
      </c>
      <c r="D57" s="10">
        <v>477400</v>
      </c>
      <c r="E57" s="10">
        <f>497500+30200</f>
        <v>527700</v>
      </c>
      <c r="F57" s="11">
        <f t="shared" si="2"/>
        <v>1879700</v>
      </c>
      <c r="G57" s="17"/>
    </row>
    <row r="58" spans="1:7" ht="12.75">
      <c r="A58" s="16" t="s">
        <v>87</v>
      </c>
      <c r="B58" s="10">
        <f>259800-1300</f>
        <v>258500</v>
      </c>
      <c r="C58" s="10">
        <v>599525</v>
      </c>
      <c r="D58" s="10">
        <v>463700</v>
      </c>
      <c r="E58" s="10">
        <f>497800+4100</f>
        <v>501900</v>
      </c>
      <c r="F58" s="11">
        <f aca="true" t="shared" si="3" ref="F58:F64">SUM(B58:E58)</f>
        <v>1823625</v>
      </c>
      <c r="G58" s="17"/>
    </row>
    <row r="59" spans="1:7" ht="12.75">
      <c r="A59" s="16" t="s">
        <v>88</v>
      </c>
      <c r="B59" s="10">
        <f>206100+35400</f>
        <v>241500</v>
      </c>
      <c r="C59" s="10">
        <v>564800</v>
      </c>
      <c r="D59" s="10">
        <v>438600</v>
      </c>
      <c r="E59" s="10">
        <f>502800+4800</f>
        <v>507600</v>
      </c>
      <c r="F59" s="11">
        <f t="shared" si="3"/>
        <v>1752500</v>
      </c>
      <c r="G59" s="17"/>
    </row>
    <row r="60" spans="1:7" ht="12.75">
      <c r="A60" s="16" t="s">
        <v>89</v>
      </c>
      <c r="B60" s="10">
        <f>206400+35400</f>
        <v>241800</v>
      </c>
      <c r="C60" s="10">
        <v>553700</v>
      </c>
      <c r="D60" s="10">
        <v>438400</v>
      </c>
      <c r="E60" s="10">
        <f>512300+5900</f>
        <v>518200</v>
      </c>
      <c r="F60" s="11">
        <f t="shared" si="3"/>
        <v>1752100</v>
      </c>
      <c r="G60" s="17"/>
    </row>
    <row r="61" spans="1:7" ht="12.75">
      <c r="A61" s="16" t="s">
        <v>92</v>
      </c>
      <c r="B61" s="10">
        <f>206500+42200</f>
        <v>248700</v>
      </c>
      <c r="C61" s="10">
        <v>568000</v>
      </c>
      <c r="D61" s="10">
        <v>443200</v>
      </c>
      <c r="E61" s="10">
        <f>512200+7000</f>
        <v>519200</v>
      </c>
      <c r="F61" s="11">
        <f t="shared" si="3"/>
        <v>1779100</v>
      </c>
      <c r="G61" s="17"/>
    </row>
    <row r="62" spans="1:7" ht="12.75">
      <c r="A62" s="16" t="s">
        <v>93</v>
      </c>
      <c r="B62" s="10">
        <f>239000+16000</f>
        <v>255000</v>
      </c>
      <c r="C62" s="10">
        <v>568700</v>
      </c>
      <c r="D62" s="10">
        <v>443800</v>
      </c>
      <c r="E62" s="10">
        <f>515600+7700</f>
        <v>523300</v>
      </c>
      <c r="F62" s="11">
        <f t="shared" si="3"/>
        <v>1790800</v>
      </c>
      <c r="G62" s="17"/>
    </row>
    <row r="63" spans="1:7" ht="12.75">
      <c r="A63" s="16" t="s">
        <v>94</v>
      </c>
      <c r="B63" s="10">
        <f>261900+6500</f>
        <v>268400</v>
      </c>
      <c r="C63" s="10">
        <f>606100+270*39.22</f>
        <v>616689.4</v>
      </c>
      <c r="D63" s="10">
        <v>466700</v>
      </c>
      <c r="E63" s="10">
        <f>510400+8800</f>
        <v>519200</v>
      </c>
      <c r="F63" s="11">
        <f t="shared" si="3"/>
        <v>1870989.4</v>
      </c>
      <c r="G63" s="17"/>
    </row>
    <row r="64" spans="1:7" ht="12.75">
      <c r="A64" s="16" t="s">
        <v>95</v>
      </c>
      <c r="B64" s="10">
        <v>278536</v>
      </c>
      <c r="C64" s="10">
        <v>649762</v>
      </c>
      <c r="D64" s="10">
        <v>480397</v>
      </c>
      <c r="E64" s="10">
        <v>524943</v>
      </c>
      <c r="F64" s="11">
        <f t="shared" si="3"/>
        <v>1933638</v>
      </c>
      <c r="G64" s="17"/>
    </row>
    <row r="65" spans="1:7" ht="12.75">
      <c r="A65" s="16" t="s">
        <v>108</v>
      </c>
      <c r="B65" s="10">
        <f>276732+196514.43</f>
        <v>473246.43</v>
      </c>
      <c r="C65" s="10">
        <v>467628</v>
      </c>
      <c r="D65" s="10">
        <v>475019</v>
      </c>
      <c r="E65" s="10">
        <f>471236+11402.63</f>
        <v>482638.63</v>
      </c>
      <c r="F65" s="11">
        <f>SUM(B65:E65)</f>
        <v>1898532.06</v>
      </c>
      <c r="G65" s="17"/>
    </row>
    <row r="66" spans="1:7" ht="12.75">
      <c r="A66" s="16" t="s">
        <v>109</v>
      </c>
      <c r="B66" s="53">
        <f>330159+146618.55+0.32</f>
        <v>476777.87</v>
      </c>
      <c r="C66" s="10">
        <v>481257.71</v>
      </c>
      <c r="D66" s="10">
        <v>490723.16</v>
      </c>
      <c r="E66" s="10">
        <f>469326+11995.02+0.32</f>
        <v>481321.34</v>
      </c>
      <c r="F66" s="11">
        <f>SUM(B66:E66)</f>
        <v>1930080.08</v>
      </c>
      <c r="G66" s="17"/>
    </row>
    <row r="67" spans="1:7" ht="12.75">
      <c r="A67" s="16" t="s">
        <v>110</v>
      </c>
      <c r="B67" s="55">
        <f>322372+139330.33+0.73</f>
        <v>461703.05999999994</v>
      </c>
      <c r="C67" s="55">
        <v>492841.76</v>
      </c>
      <c r="D67" s="55">
        <v>484978.34</v>
      </c>
      <c r="E67" s="55">
        <f>284708+166652+26200.8+0.73</f>
        <v>477561.52999999997</v>
      </c>
      <c r="F67" s="11">
        <f>SUM(B67:E67)</f>
        <v>1917084.69</v>
      </c>
      <c r="G67" s="17"/>
    </row>
    <row r="68" spans="1:7" ht="12.75">
      <c r="A68" s="16" t="s">
        <v>111</v>
      </c>
      <c r="B68" s="55">
        <f>389020+39210.97</f>
        <v>428230.97</v>
      </c>
      <c r="C68" s="55">
        <v>468052</v>
      </c>
      <c r="D68" s="55">
        <v>468694</v>
      </c>
      <c r="E68" s="55">
        <f>455747+26347.92</f>
        <v>482094.92</v>
      </c>
      <c r="F68" s="11">
        <f>SUM(B68:E68)</f>
        <v>1847071.89</v>
      </c>
      <c r="G68" s="17"/>
    </row>
    <row r="69" spans="1:7" ht="12.75">
      <c r="A69" s="16" t="s">
        <v>112</v>
      </c>
      <c r="B69" s="55">
        <f>431876+1865.38+0.65</f>
        <v>433742.03</v>
      </c>
      <c r="C69" s="55">
        <v>457122.81</v>
      </c>
      <c r="D69" s="55">
        <v>438998.5</v>
      </c>
      <c r="E69" s="56">
        <f>453869+3032.22+0.66</f>
        <v>456901.87999999995</v>
      </c>
      <c r="F69" s="11">
        <f aca="true" t="shared" si="4" ref="F69:F79">SUM(B69:E69)</f>
        <v>1786765.22</v>
      </c>
      <c r="G69" s="17"/>
    </row>
    <row r="70" spans="1:7" ht="12.75">
      <c r="A70" s="16" t="s">
        <v>113</v>
      </c>
      <c r="B70" s="55">
        <f>431914+7972.11</f>
        <v>439886.11</v>
      </c>
      <c r="C70" s="55">
        <v>477978.81</v>
      </c>
      <c r="D70" s="55">
        <v>447947.24</v>
      </c>
      <c r="E70" s="56">
        <f>454596+3586.47</f>
        <v>458182.47</v>
      </c>
      <c r="F70" s="11">
        <f t="shared" si="4"/>
        <v>1823994.63</v>
      </c>
      <c r="G70" s="17"/>
    </row>
    <row r="71" spans="1:7" ht="12.75">
      <c r="A71" s="16" t="s">
        <v>117</v>
      </c>
      <c r="B71" s="55">
        <f>430588.18+21321.53</f>
        <v>451909.70999999996</v>
      </c>
      <c r="C71" s="55">
        <v>506936.51</v>
      </c>
      <c r="D71" s="55">
        <v>471383.88</v>
      </c>
      <c r="E71" s="56">
        <f>451470.27+3633.02</f>
        <v>455103.29000000004</v>
      </c>
      <c r="F71" s="11">
        <f t="shared" si="4"/>
        <v>1885333.3900000001</v>
      </c>
      <c r="G71" s="17"/>
    </row>
    <row r="72" spans="1:7" ht="12.75">
      <c r="A72" s="16" t="s">
        <v>118</v>
      </c>
      <c r="B72" s="55">
        <f>370453.9+69423.24</f>
        <v>439877.14</v>
      </c>
      <c r="C72" s="55">
        <v>505249.32</v>
      </c>
      <c r="D72" s="55">
        <v>465238.67</v>
      </c>
      <c r="E72" s="56">
        <f>457211.55+4204.39</f>
        <v>461415.94</v>
      </c>
      <c r="F72" s="11">
        <f t="shared" si="4"/>
        <v>1871781.0699999998</v>
      </c>
      <c r="G72" s="17"/>
    </row>
    <row r="73" spans="1:7" ht="12.75">
      <c r="A73" s="16" t="s">
        <v>120</v>
      </c>
      <c r="B73" s="55">
        <f>340248.57+93770.58</f>
        <v>434019.15</v>
      </c>
      <c r="C73" s="55">
        <v>507893</v>
      </c>
      <c r="D73" s="55">
        <v>464329</v>
      </c>
      <c r="E73" s="56">
        <f>450581.43+4812.33</f>
        <v>455393.76</v>
      </c>
      <c r="F73" s="11">
        <f t="shared" si="4"/>
        <v>1861634.91</v>
      </c>
      <c r="G73" s="17"/>
    </row>
    <row r="74" spans="1:7" ht="12.75">
      <c r="A74" s="16" t="s">
        <v>121</v>
      </c>
      <c r="B74" s="55">
        <f>380194.46+46574.57</f>
        <v>426769.03</v>
      </c>
      <c r="C74" s="55">
        <v>494997.17</v>
      </c>
      <c r="D74" s="55">
        <v>451015.13</v>
      </c>
      <c r="E74" s="56">
        <f>445203.53+4920.07</f>
        <v>450123.60000000003</v>
      </c>
      <c r="F74" s="11">
        <f t="shared" si="4"/>
        <v>1822904.9300000002</v>
      </c>
      <c r="G74" s="17"/>
    </row>
    <row r="75" spans="1:7" ht="12.75">
      <c r="A75" s="16" t="s">
        <v>126</v>
      </c>
      <c r="B75" s="64">
        <f>437822.73+11677.78</f>
        <v>449500.51</v>
      </c>
      <c r="C75" s="55">
        <v>536098.14</v>
      </c>
      <c r="D75" s="55">
        <v>473693.31</v>
      </c>
      <c r="E75" s="65">
        <f>444973.36+5535.6</f>
        <v>450508.95999999996</v>
      </c>
      <c r="F75" s="11">
        <f t="shared" si="4"/>
        <v>1909800.92</v>
      </c>
      <c r="G75" s="17"/>
    </row>
    <row r="76" spans="1:7" ht="12.75">
      <c r="A76" s="16" t="s">
        <v>127</v>
      </c>
      <c r="B76" s="55">
        <f>435194.85+17571.13</f>
        <v>452765.98</v>
      </c>
      <c r="C76" s="55">
        <v>540606.6</v>
      </c>
      <c r="D76" s="55">
        <v>471708.06</v>
      </c>
      <c r="E76" s="56">
        <f>447701.27+6098.79</f>
        <v>453800.06</v>
      </c>
      <c r="F76" s="11">
        <f t="shared" si="4"/>
        <v>1918880.7</v>
      </c>
      <c r="G76" s="17"/>
    </row>
    <row r="77" spans="1:7" ht="12.75">
      <c r="A77" s="16" t="s">
        <v>128</v>
      </c>
      <c r="B77" s="55">
        <f>442317.35+33401.83</f>
        <v>475719.18</v>
      </c>
      <c r="C77" s="55">
        <v>580469.9</v>
      </c>
      <c r="D77" s="55">
        <v>492280.37</v>
      </c>
      <c r="E77" s="55">
        <f>451133.38+6195.73</f>
        <v>457329.11</v>
      </c>
      <c r="F77" s="11">
        <f t="shared" si="4"/>
        <v>2005798.56</v>
      </c>
      <c r="G77" s="17"/>
    </row>
    <row r="78" spans="1:7" ht="12.75">
      <c r="A78" s="16" t="s">
        <v>129</v>
      </c>
      <c r="B78" s="55">
        <f>416324.03+62033.6</f>
        <v>478357.63</v>
      </c>
      <c r="C78" s="67">
        <v>584594.73</v>
      </c>
      <c r="D78" s="67">
        <v>489127.58</v>
      </c>
      <c r="E78" s="55">
        <f>449626.37+8610.36</f>
        <v>458236.73</v>
      </c>
      <c r="F78" s="11">
        <f t="shared" si="4"/>
        <v>2010316.67</v>
      </c>
      <c r="G78" s="17"/>
    </row>
    <row r="79" spans="1:7" ht="12.75">
      <c r="A79" s="16" t="s">
        <v>130</v>
      </c>
      <c r="B79" s="10">
        <f>410019.13+74007.73</f>
        <v>484026.86</v>
      </c>
      <c r="C79" s="67">
        <v>599735.42</v>
      </c>
      <c r="D79" s="67">
        <v>497904.84</v>
      </c>
      <c r="E79" s="55">
        <f>460424.07-7562.06</f>
        <v>452862.01</v>
      </c>
      <c r="F79" s="68">
        <f t="shared" si="4"/>
        <v>2034529.1300000001</v>
      </c>
      <c r="G79" s="17"/>
    </row>
    <row r="80" spans="1:7" ht="12.75">
      <c r="A80" s="16" t="s">
        <v>131</v>
      </c>
      <c r="B80" s="10">
        <f>414362.95+62928.8</f>
        <v>477291.75</v>
      </c>
      <c r="C80" s="67">
        <v>604513.62</v>
      </c>
      <c r="D80" s="67">
        <v>518456.2</v>
      </c>
      <c r="E80" s="55">
        <f>438281.72+13866.86</f>
        <v>452148.57999999996</v>
      </c>
      <c r="F80" s="68">
        <f>SUM(B80:E80)</f>
        <v>2052410.15</v>
      </c>
      <c r="G80" s="17"/>
    </row>
    <row r="81" spans="1:7" ht="12.75">
      <c r="A81" s="16" t="s">
        <v>134</v>
      </c>
      <c r="B81" s="10">
        <f>301991.28+137846.68</f>
        <v>439837.96</v>
      </c>
      <c r="C81" s="67">
        <v>547669.32</v>
      </c>
      <c r="D81" s="67">
        <v>478579.44</v>
      </c>
      <c r="E81" s="55">
        <f>423898.06+4702.7</f>
        <v>428600.76</v>
      </c>
      <c r="F81" s="11">
        <f aca="true" t="shared" si="5" ref="F81:F93">SUM(B81:E81)</f>
        <v>1894687.48</v>
      </c>
      <c r="G81" s="17"/>
    </row>
    <row r="82" spans="1:7" ht="12.75">
      <c r="A82" s="16" t="s">
        <v>136</v>
      </c>
      <c r="B82" s="10">
        <f>285079.33+155289.54</f>
        <v>440368.87</v>
      </c>
      <c r="C82" s="67">
        <v>546885.02</v>
      </c>
      <c r="D82" s="67">
        <v>475104.61</v>
      </c>
      <c r="E82" s="55">
        <f>423470.65+5529.73</f>
        <v>429000.38</v>
      </c>
      <c r="F82" s="11">
        <f t="shared" si="5"/>
        <v>1891358.88</v>
      </c>
      <c r="G82" s="17"/>
    </row>
    <row r="83" spans="1:7" ht="12.75">
      <c r="A83" s="16" t="s">
        <v>135</v>
      </c>
      <c r="B83" s="10">
        <f>200449.21+210731.38</f>
        <v>411180.58999999997</v>
      </c>
      <c r="C83" s="67">
        <v>538713.08</v>
      </c>
      <c r="D83" s="67">
        <v>477795.42</v>
      </c>
      <c r="E83" s="55">
        <f>428870.2+5937.47</f>
        <v>434807.67</v>
      </c>
      <c r="F83" s="11">
        <f t="shared" si="5"/>
        <v>1862496.7599999998</v>
      </c>
      <c r="G83" s="17"/>
    </row>
    <row r="84" spans="1:7" ht="12.75">
      <c r="A84" s="16" t="s">
        <v>137</v>
      </c>
      <c r="B84" s="10">
        <f>186489.86+227210.44</f>
        <v>413700.3</v>
      </c>
      <c r="C84" s="67">
        <v>540061.05</v>
      </c>
      <c r="D84" s="67">
        <v>487903.5</v>
      </c>
      <c r="E84" s="55">
        <f>434774.97+6822.01</f>
        <v>441596.98</v>
      </c>
      <c r="F84" s="11">
        <f t="shared" si="5"/>
        <v>1883261.83</v>
      </c>
      <c r="G84" s="17"/>
    </row>
    <row r="85" spans="1:7" ht="12.75">
      <c r="A85" s="16" t="s">
        <v>139</v>
      </c>
      <c r="B85" s="10">
        <f>132641.13+279555.12</f>
        <v>412196.25</v>
      </c>
      <c r="C85" s="67">
        <v>548992.02</v>
      </c>
      <c r="D85" s="67">
        <v>493104.32</v>
      </c>
      <c r="E85" s="55">
        <f>437467.17+7724.83</f>
        <v>445192</v>
      </c>
      <c r="F85" s="11">
        <f t="shared" si="5"/>
        <v>1899484.59</v>
      </c>
      <c r="G85" s="17"/>
    </row>
    <row r="86" spans="1:7" ht="12.75">
      <c r="A86" s="16" t="s">
        <v>140</v>
      </c>
      <c r="B86" s="10">
        <f>184450.37+235285.06</f>
        <v>419735.43</v>
      </c>
      <c r="C86" s="67">
        <v>564890.68</v>
      </c>
      <c r="D86" s="67">
        <v>503288.12</v>
      </c>
      <c r="E86" s="55">
        <f>440395.08+8282.08</f>
        <v>448677.16000000003</v>
      </c>
      <c r="F86" s="11">
        <f t="shared" si="5"/>
        <v>1936591.3900000001</v>
      </c>
      <c r="G86" s="17"/>
    </row>
    <row r="87" spans="1:7" ht="12.75">
      <c r="A87" s="16" t="s">
        <v>141</v>
      </c>
      <c r="B87" s="10">
        <f>303097.69+130792.26</f>
        <v>433889.95</v>
      </c>
      <c r="C87" s="67">
        <v>577603.09</v>
      </c>
      <c r="D87" s="67">
        <v>513064.31</v>
      </c>
      <c r="E87" s="55">
        <f>445118.86+9176.42</f>
        <v>454295.27999999997</v>
      </c>
      <c r="F87" s="11">
        <f t="shared" si="5"/>
        <v>1978852.6300000001</v>
      </c>
      <c r="G87" s="17"/>
    </row>
    <row r="88" spans="1:7" ht="12.75">
      <c r="A88" s="16" t="s">
        <v>142</v>
      </c>
      <c r="B88" s="10">
        <f>436887.04+1159.32</f>
        <v>438046.36</v>
      </c>
      <c r="C88" s="67">
        <v>578891.88</v>
      </c>
      <c r="D88" s="55">
        <v>516898.6</v>
      </c>
      <c r="E88" s="55">
        <f>440832.21+10031.92</f>
        <v>450864.13</v>
      </c>
      <c r="F88" s="11">
        <f t="shared" si="5"/>
        <v>1984700.9699999997</v>
      </c>
      <c r="G88" s="17"/>
    </row>
    <row r="89" spans="1:7" ht="12.75">
      <c r="A89" s="16" t="s">
        <v>143</v>
      </c>
      <c r="B89" s="10">
        <f>408866.23+27040.71</f>
        <v>435906.94</v>
      </c>
      <c r="C89" s="67">
        <v>592647.86</v>
      </c>
      <c r="D89" s="55">
        <v>524572.77</v>
      </c>
      <c r="E89" s="55">
        <f>440325.55+10435.43</f>
        <v>450760.98</v>
      </c>
      <c r="F89" s="11">
        <f t="shared" si="5"/>
        <v>2003888.55</v>
      </c>
      <c r="G89" s="17"/>
    </row>
    <row r="90" spans="1:7" ht="12.75">
      <c r="A90" s="16" t="s">
        <v>144</v>
      </c>
      <c r="B90" s="10">
        <f>335791.16+103790.99</f>
        <v>439582.14999999997</v>
      </c>
      <c r="C90" s="67">
        <v>594185.2</v>
      </c>
      <c r="D90" s="55">
        <v>522783.19</v>
      </c>
      <c r="E90" s="55">
        <f>446534.71+11360.69</f>
        <v>457895.4</v>
      </c>
      <c r="F90" s="11">
        <f t="shared" si="5"/>
        <v>2014445.94</v>
      </c>
      <c r="G90" s="17"/>
    </row>
    <row r="91" spans="1:7" ht="12.75">
      <c r="A91" s="16" t="s">
        <v>145</v>
      </c>
      <c r="B91" s="72">
        <f>379875.14-45955+110574.22</f>
        <v>444494.36</v>
      </c>
      <c r="C91" s="67">
        <v>594590.82</v>
      </c>
      <c r="D91" s="55">
        <f>530351.78-81.3</f>
        <v>530270.48</v>
      </c>
      <c r="E91" s="55">
        <f>400730.04+45955+12571.46</f>
        <v>459256.5</v>
      </c>
      <c r="F91" s="11">
        <f t="shared" si="5"/>
        <v>2028612.16</v>
      </c>
      <c r="G91" s="17"/>
    </row>
    <row r="92" spans="1:7" ht="12.75">
      <c r="A92" s="16" t="s">
        <v>147</v>
      </c>
      <c r="B92" s="67">
        <f>453498.42-45982.3+46498.84</f>
        <v>454014.95999999996</v>
      </c>
      <c r="C92" s="67">
        <v>593806.9</v>
      </c>
      <c r="D92" s="67">
        <v>547017.19</v>
      </c>
      <c r="E92" s="55">
        <f>403054.53+45982.3+12913.54</f>
        <v>461950.37</v>
      </c>
      <c r="F92" s="11">
        <f t="shared" si="5"/>
        <v>2056789.42</v>
      </c>
      <c r="G92" s="17"/>
    </row>
    <row r="93" spans="1:7" ht="12.75">
      <c r="A93" s="16" t="s">
        <v>150</v>
      </c>
      <c r="B93" s="67">
        <f>426608.73+24572.05</f>
        <v>451180.77999999997</v>
      </c>
      <c r="C93" s="67">
        <v>577250.04</v>
      </c>
      <c r="D93" s="67">
        <v>540576.15</v>
      </c>
      <c r="E93" s="55">
        <f>435669.78+915.29</f>
        <v>436585.07</v>
      </c>
      <c r="F93" s="11">
        <f t="shared" si="5"/>
        <v>2005592.0400000003</v>
      </c>
      <c r="G93" s="17"/>
    </row>
    <row r="94" spans="1:7" ht="12.75">
      <c r="A94" s="16" t="s">
        <v>151</v>
      </c>
      <c r="B94" s="67">
        <f>424862.12+22539.79</f>
        <v>447401.91</v>
      </c>
      <c r="C94" s="67">
        <v>581767.11</v>
      </c>
      <c r="D94" s="67">
        <v>536506.06</v>
      </c>
      <c r="E94" s="55">
        <f>433687.31+1736</f>
        <v>435423.31</v>
      </c>
      <c r="F94" s="11">
        <f>SUM(B94:E94)</f>
        <v>2001098.3900000001</v>
      </c>
      <c r="G94" s="17"/>
    </row>
    <row r="95" spans="1:7" ht="12.75">
      <c r="A95" s="16" t="s">
        <v>152</v>
      </c>
      <c r="B95" s="67">
        <f>407102.83+27857.53</f>
        <v>434960.36</v>
      </c>
      <c r="C95" s="67">
        <v>560884.34</v>
      </c>
      <c r="D95" s="67">
        <v>523971.36</v>
      </c>
      <c r="E95" s="55">
        <f>434009.17+2026.44</f>
        <v>436035.61</v>
      </c>
      <c r="F95" s="11">
        <f>SUM(B95:E95)</f>
        <v>1955851.67</v>
      </c>
      <c r="G95" s="17"/>
    </row>
    <row r="96" spans="1:7" ht="12.75">
      <c r="A96" s="16" t="s">
        <v>153</v>
      </c>
      <c r="B96" s="67">
        <f>307407.39+132869.27</f>
        <v>440276.66000000003</v>
      </c>
      <c r="C96" s="67">
        <v>542253.25</v>
      </c>
      <c r="D96" s="67">
        <v>530739.17</v>
      </c>
      <c r="E96" s="67">
        <f>438728.35+2884.01</f>
        <v>441612.36</v>
      </c>
      <c r="F96" s="11">
        <f>SUM(B96:E96)</f>
        <v>1954881.44</v>
      </c>
      <c r="G96" s="17"/>
    </row>
    <row r="97" spans="1:7" ht="12.75">
      <c r="A97" s="16" t="s">
        <v>154</v>
      </c>
      <c r="B97" s="55">
        <v>454662.57</v>
      </c>
      <c r="C97" s="55">
        <v>564786.05</v>
      </c>
      <c r="D97" s="55">
        <v>537413.56</v>
      </c>
      <c r="E97" s="55">
        <v>446356.45</v>
      </c>
      <c r="F97" s="11">
        <f>SUM(B97:E97)</f>
        <v>2003218.6300000001</v>
      </c>
      <c r="G97" s="17"/>
    </row>
    <row r="98" spans="1:7" ht="12.75">
      <c r="A98" s="16" t="s">
        <v>156</v>
      </c>
      <c r="B98" s="55">
        <v>489899.37</v>
      </c>
      <c r="C98" s="55">
        <v>574569.47</v>
      </c>
      <c r="D98" s="55">
        <v>556122.09</v>
      </c>
      <c r="E98" s="55">
        <v>450140.87</v>
      </c>
      <c r="F98" s="11">
        <v>2070731.8</v>
      </c>
      <c r="G98" s="17"/>
    </row>
    <row r="99" spans="1:7" ht="12.75">
      <c r="A99" s="16" t="s">
        <v>157</v>
      </c>
      <c r="B99" s="55">
        <v>479779.82</v>
      </c>
      <c r="C99" s="55">
        <v>514264.14</v>
      </c>
      <c r="D99" s="55">
        <v>545119.11</v>
      </c>
      <c r="E99" s="55">
        <v>456993.48</v>
      </c>
      <c r="F99" s="11">
        <v>1996156.55</v>
      </c>
      <c r="G99" s="17"/>
    </row>
    <row r="100" spans="1:7" ht="12.75">
      <c r="A100" s="16" t="s">
        <v>158</v>
      </c>
      <c r="B100" s="55">
        <v>491273.78</v>
      </c>
      <c r="C100" s="55">
        <v>496315.84</v>
      </c>
      <c r="D100" s="55">
        <v>546138.82</v>
      </c>
      <c r="E100" s="55">
        <v>456126.27</v>
      </c>
      <c r="F100" s="11">
        <v>1989854.71</v>
      </c>
      <c r="G100" s="17"/>
    </row>
    <row r="101" spans="1:7" ht="12.75">
      <c r="A101" s="16" t="s">
        <v>159</v>
      </c>
      <c r="B101" s="55">
        <v>434863.42</v>
      </c>
      <c r="C101" s="55">
        <v>480791.57</v>
      </c>
      <c r="D101" s="55">
        <v>532722.8</v>
      </c>
      <c r="E101" s="55">
        <v>467035.41</v>
      </c>
      <c r="F101" s="11">
        <v>1915413.2</v>
      </c>
      <c r="G101" s="17"/>
    </row>
    <row r="102" spans="1:7" ht="12.75">
      <c r="A102" s="16" t="s">
        <v>160</v>
      </c>
      <c r="B102" s="55">
        <v>417222.2</v>
      </c>
      <c r="C102" s="55">
        <v>477211.68</v>
      </c>
      <c r="D102" s="55">
        <v>522556.82</v>
      </c>
      <c r="E102" s="55">
        <v>469401.85</v>
      </c>
      <c r="F102" s="11">
        <v>1886392.55</v>
      </c>
      <c r="G102" s="17"/>
    </row>
    <row r="103" spans="1:7" ht="12.75">
      <c r="A103" s="16" t="s">
        <v>161</v>
      </c>
      <c r="B103" s="55">
        <v>411282</v>
      </c>
      <c r="C103" s="55">
        <v>468834.03</v>
      </c>
      <c r="D103" s="55">
        <v>501254.51</v>
      </c>
      <c r="E103" s="55">
        <v>470224.47</v>
      </c>
      <c r="F103" s="11">
        <v>1851595.01</v>
      </c>
      <c r="G103" s="17"/>
    </row>
    <row r="104" spans="1:7" ht="12.75">
      <c r="A104" s="16" t="s">
        <v>162</v>
      </c>
      <c r="B104" s="55">
        <v>430909.08</v>
      </c>
      <c r="C104" s="55">
        <v>489047.22</v>
      </c>
      <c r="D104" s="55">
        <v>536103.11</v>
      </c>
      <c r="E104" s="55">
        <v>468248.34</v>
      </c>
      <c r="F104" s="11">
        <v>1924307.75</v>
      </c>
      <c r="G104" s="17"/>
    </row>
    <row r="105" spans="1:7" ht="12.75">
      <c r="A105" s="16" t="s">
        <v>165</v>
      </c>
      <c r="B105" s="55">
        <v>422660.64</v>
      </c>
      <c r="C105" s="55">
        <v>460981.26</v>
      </c>
      <c r="D105" s="55">
        <v>530136.28</v>
      </c>
      <c r="E105" s="55">
        <v>440306.45</v>
      </c>
      <c r="F105" s="11">
        <v>1854084.63</v>
      </c>
      <c r="G105" s="17"/>
    </row>
    <row r="106" spans="1:7" ht="12.75">
      <c r="A106" s="16" t="s">
        <v>166</v>
      </c>
      <c r="B106" s="55">
        <v>399675.85</v>
      </c>
      <c r="C106" s="55">
        <v>426253.78</v>
      </c>
      <c r="D106" s="55">
        <v>505175.97</v>
      </c>
      <c r="E106" s="55">
        <v>436560.72</v>
      </c>
      <c r="F106" s="11">
        <v>1767666.32</v>
      </c>
      <c r="G106" s="17"/>
    </row>
    <row r="107" spans="1:7" ht="12.75">
      <c r="A107" s="16" t="s">
        <v>167</v>
      </c>
      <c r="B107" s="55">
        <v>377764.67</v>
      </c>
      <c r="C107" s="55">
        <v>417850.5</v>
      </c>
      <c r="D107" s="55">
        <v>495918.58</v>
      </c>
      <c r="E107" s="55">
        <v>436080.61</v>
      </c>
      <c r="F107" s="11">
        <v>1727614.36</v>
      </c>
      <c r="G107" s="17"/>
    </row>
    <row r="108" spans="1:7" ht="12.75">
      <c r="A108" s="16" t="s">
        <v>168</v>
      </c>
      <c r="B108" s="68">
        <v>378066.48</v>
      </c>
      <c r="C108" s="68">
        <v>427104.3</v>
      </c>
      <c r="D108" s="68">
        <v>498634.22</v>
      </c>
      <c r="E108" s="68">
        <v>438687.06</v>
      </c>
      <c r="F108" s="68">
        <v>1742492.06</v>
      </c>
      <c r="G108" s="17"/>
    </row>
    <row r="109" spans="1:7" ht="12.75">
      <c r="A109" s="16" t="s">
        <v>169</v>
      </c>
      <c r="B109" s="68">
        <v>352530.26</v>
      </c>
      <c r="C109" s="68">
        <v>402617.97</v>
      </c>
      <c r="D109" s="68">
        <v>455714.91</v>
      </c>
      <c r="E109" s="68">
        <v>424802.62</v>
      </c>
      <c r="F109" s="68">
        <v>1635665.76</v>
      </c>
      <c r="G109" s="17"/>
    </row>
    <row r="110" spans="1:7" ht="12.75">
      <c r="A110" s="16" t="s">
        <v>173</v>
      </c>
      <c r="B110" s="68">
        <v>327065.24</v>
      </c>
      <c r="C110" s="68">
        <v>350336.42</v>
      </c>
      <c r="D110" s="68">
        <v>399790.15</v>
      </c>
      <c r="E110" s="68">
        <v>416997</v>
      </c>
      <c r="F110" s="68">
        <v>1494188.81</v>
      </c>
      <c r="G110" s="17"/>
    </row>
    <row r="111" spans="1:7" ht="12.75">
      <c r="A111" s="16" t="s">
        <v>174</v>
      </c>
      <c r="B111" s="68">
        <v>310890.05</v>
      </c>
      <c r="C111" s="68">
        <v>312323.9</v>
      </c>
      <c r="D111" s="68">
        <v>384091.76</v>
      </c>
      <c r="E111" s="68">
        <v>422504.21</v>
      </c>
      <c r="F111" s="68">
        <v>1429809.92</v>
      </c>
      <c r="G111" s="17"/>
    </row>
    <row r="112" spans="1:7" ht="12.75">
      <c r="A112" s="16" t="s">
        <v>175</v>
      </c>
      <c r="B112" s="68">
        <v>311307.9</v>
      </c>
      <c r="C112" s="68">
        <v>320998.92</v>
      </c>
      <c r="D112" s="68">
        <v>397273.95</v>
      </c>
      <c r="E112" s="68">
        <v>434203.68</v>
      </c>
      <c r="F112" s="68">
        <v>1463784.45</v>
      </c>
      <c r="G112" s="17"/>
    </row>
    <row r="113" spans="1:7" ht="12.75">
      <c r="A113" s="16" t="s">
        <v>176</v>
      </c>
      <c r="B113" s="68">
        <v>292660.23</v>
      </c>
      <c r="C113" s="68">
        <v>294918.61</v>
      </c>
      <c r="D113" s="68">
        <v>378689.61</v>
      </c>
      <c r="E113" s="68">
        <v>434904.01</v>
      </c>
      <c r="F113" s="68">
        <v>1401172.46</v>
      </c>
      <c r="G113" s="17"/>
    </row>
    <row r="114" spans="1:7" ht="12.75">
      <c r="A114" s="16" t="s">
        <v>177</v>
      </c>
      <c r="B114" s="68">
        <v>281688.55</v>
      </c>
      <c r="C114" s="68">
        <v>284752.1</v>
      </c>
      <c r="D114" s="68">
        <v>361732.44</v>
      </c>
      <c r="E114" s="68">
        <v>428638.89</v>
      </c>
      <c r="F114" s="68">
        <v>1356811.98</v>
      </c>
      <c r="G114" s="17"/>
    </row>
    <row r="115" spans="1:7" ht="12.75">
      <c r="A115" s="16" t="s">
        <v>178</v>
      </c>
      <c r="B115" s="68">
        <v>299570.54</v>
      </c>
      <c r="C115" s="68">
        <v>289819.19</v>
      </c>
      <c r="D115" s="68">
        <v>371993.72</v>
      </c>
      <c r="E115" s="68">
        <v>440683.99</v>
      </c>
      <c r="F115" s="68">
        <v>1402067.44</v>
      </c>
      <c r="G115" s="17"/>
    </row>
    <row r="116" spans="1:7" ht="12.75">
      <c r="A116" s="16" t="s">
        <v>179</v>
      </c>
      <c r="B116" s="68">
        <v>313518.71</v>
      </c>
      <c r="C116" s="68">
        <v>305091.81</v>
      </c>
      <c r="D116" s="68">
        <v>383276.34</v>
      </c>
      <c r="E116" s="68">
        <v>439955.98</v>
      </c>
      <c r="F116" s="68">
        <v>1441842.84</v>
      </c>
      <c r="G116" s="17"/>
    </row>
    <row r="117" spans="1:7" ht="12.75">
      <c r="A117" s="16" t="s">
        <v>182</v>
      </c>
      <c r="B117" s="68">
        <v>308553.9</v>
      </c>
      <c r="C117" s="68">
        <v>314157.73</v>
      </c>
      <c r="D117" s="68">
        <v>383275.98</v>
      </c>
      <c r="E117" s="68">
        <v>423805.12</v>
      </c>
      <c r="F117" s="68">
        <v>1429792.73</v>
      </c>
      <c r="G117" s="17"/>
    </row>
    <row r="118" spans="1:7" ht="12.75">
      <c r="A118" s="16" t="s">
        <v>183</v>
      </c>
      <c r="B118" s="68">
        <v>306770.56</v>
      </c>
      <c r="C118" s="68">
        <v>309782.39</v>
      </c>
      <c r="D118" s="68">
        <v>389695.09</v>
      </c>
      <c r="E118" s="68">
        <v>427086.11</v>
      </c>
      <c r="F118" s="68">
        <v>1433334.15</v>
      </c>
      <c r="G118" s="17"/>
    </row>
    <row r="119" spans="1:7" ht="12.75">
      <c r="A119" s="16" t="s">
        <v>184</v>
      </c>
      <c r="B119" s="68">
        <v>313065.79</v>
      </c>
      <c r="C119" s="68">
        <v>313046.91</v>
      </c>
      <c r="D119" s="68">
        <v>405300.88</v>
      </c>
      <c r="E119" s="68">
        <v>435431.35</v>
      </c>
      <c r="F119" s="68">
        <v>1466844.93</v>
      </c>
      <c r="G119" s="17"/>
    </row>
    <row r="120" spans="1:7" ht="12.75">
      <c r="A120" s="16" t="s">
        <v>185</v>
      </c>
      <c r="B120" s="68">
        <v>315918.78</v>
      </c>
      <c r="C120" s="68">
        <v>308360.15</v>
      </c>
      <c r="D120" s="68">
        <v>412095.2</v>
      </c>
      <c r="E120" s="68">
        <v>440609.03</v>
      </c>
      <c r="F120" s="68">
        <v>1476983.16</v>
      </c>
      <c r="G120" s="17"/>
    </row>
    <row r="121" spans="1:7" ht="12.75">
      <c r="A121" s="16" t="s">
        <v>186</v>
      </c>
      <c r="B121" s="10">
        <v>315550.13</v>
      </c>
      <c r="C121" s="67">
        <v>312121.83</v>
      </c>
      <c r="D121" s="67">
        <v>429199.82</v>
      </c>
      <c r="E121" s="55">
        <v>447825.09</v>
      </c>
      <c r="F121" s="68">
        <v>1504696.87</v>
      </c>
      <c r="G121" s="77"/>
    </row>
    <row r="122" spans="1:7" ht="12.75">
      <c r="A122" s="16" t="s">
        <v>187</v>
      </c>
      <c r="B122" s="10">
        <f>228751.14+36903.95+38869.96</f>
        <v>304525.05000000005</v>
      </c>
      <c r="C122" s="67">
        <v>298934.37</v>
      </c>
      <c r="D122" s="67">
        <v>418478.85</v>
      </c>
      <c r="E122" s="55">
        <f>451064.29-381.71</f>
        <v>450682.57999999996</v>
      </c>
      <c r="F122" s="68">
        <f>SUM(B122:E122)</f>
        <v>1472620.85</v>
      </c>
      <c r="G122" s="17"/>
    </row>
    <row r="123" spans="1:7" ht="12.75">
      <c r="A123" s="16" t="s">
        <v>188</v>
      </c>
      <c r="B123" s="10">
        <v>316748.69</v>
      </c>
      <c r="C123" s="67">
        <v>306836.51</v>
      </c>
      <c r="D123" s="67">
        <v>435178.03</v>
      </c>
      <c r="E123" s="55">
        <v>457786.93</v>
      </c>
      <c r="F123" s="68">
        <v>1516550.16</v>
      </c>
      <c r="G123" s="77"/>
    </row>
    <row r="124" spans="1:7" ht="12.75">
      <c r="A124" s="16" t="s">
        <v>189</v>
      </c>
      <c r="B124" s="10">
        <v>325760.9</v>
      </c>
      <c r="C124" s="67">
        <v>328626.89</v>
      </c>
      <c r="D124" s="67">
        <v>442903.99</v>
      </c>
      <c r="E124" s="55">
        <v>446640.82</v>
      </c>
      <c r="F124" s="68">
        <v>1543932.6</v>
      </c>
      <c r="G124" s="17"/>
    </row>
    <row r="125" spans="1:7" ht="12.75">
      <c r="A125" s="16" t="s">
        <v>190</v>
      </c>
      <c r="B125" s="10">
        <f>238119.39+28140.36+47269.76</f>
        <v>313529.51</v>
      </c>
      <c r="C125" s="67">
        <v>314354.32</v>
      </c>
      <c r="D125" s="67">
        <v>428607.62</v>
      </c>
      <c r="E125" s="55">
        <f>449185.13+3258.92</f>
        <v>452444.05</v>
      </c>
      <c r="F125" s="68">
        <f>SUM(B125:E125)</f>
        <v>1508935.5000000002</v>
      </c>
      <c r="G125" s="17"/>
    </row>
    <row r="126" spans="1:7" ht="12.75">
      <c r="A126" s="16" t="s">
        <v>191</v>
      </c>
      <c r="B126" s="10">
        <v>323310.94</v>
      </c>
      <c r="C126" s="67">
        <v>326720.42</v>
      </c>
      <c r="D126" s="67">
        <v>440046.5</v>
      </c>
      <c r="E126" s="55">
        <v>454496.66</v>
      </c>
      <c r="F126" s="68">
        <v>1544574.52</v>
      </c>
      <c r="G126" s="77"/>
    </row>
    <row r="127" spans="1:7" ht="12.75">
      <c r="A127" s="16" t="s">
        <v>192</v>
      </c>
      <c r="B127" s="10">
        <f>305785.44+27565.73</f>
        <v>333351.17</v>
      </c>
      <c r="C127" s="67">
        <v>345556.23</v>
      </c>
      <c r="D127" s="67">
        <v>468002.61</v>
      </c>
      <c r="E127" s="55">
        <f>451214.01+4633.48</f>
        <v>455847.49</v>
      </c>
      <c r="F127" s="68">
        <f>SUM(B127:E127)</f>
        <v>1602757.4999999998</v>
      </c>
      <c r="G127" s="17"/>
    </row>
    <row r="128" spans="1:7" ht="12.75">
      <c r="A128" s="78" t="s">
        <v>193</v>
      </c>
      <c r="B128" s="10">
        <v>343115.24</v>
      </c>
      <c r="C128" s="67">
        <v>367821.4</v>
      </c>
      <c r="D128" s="67">
        <v>473903.42</v>
      </c>
      <c r="E128" s="55">
        <v>458946.75</v>
      </c>
      <c r="F128" s="68">
        <v>1643786.81</v>
      </c>
      <c r="G128" s="17"/>
    </row>
    <row r="129" spans="1:7" ht="12.75">
      <c r="A129" s="16" t="s">
        <v>196</v>
      </c>
      <c r="B129" s="10">
        <v>387172.02</v>
      </c>
      <c r="C129" s="67">
        <v>415865.01</v>
      </c>
      <c r="D129" s="67">
        <v>380266.52</v>
      </c>
      <c r="E129" s="55">
        <v>297454.95</v>
      </c>
      <c r="F129" s="68">
        <v>1480758.5</v>
      </c>
      <c r="G129" s="17"/>
    </row>
    <row r="130" spans="1:7" ht="12.75">
      <c r="A130" s="78" t="s">
        <v>197</v>
      </c>
      <c r="B130" s="10">
        <f>239995.27+143301.7</f>
        <v>383296.97</v>
      </c>
      <c r="C130" s="67">
        <v>410154.51</v>
      </c>
      <c r="D130" s="67">
        <v>360796.69</v>
      </c>
      <c r="E130" s="55">
        <f>257100.94+9703.7+35555.08</f>
        <v>302359.72000000003</v>
      </c>
      <c r="F130" s="68">
        <f>SUM(B130:E130)</f>
        <v>1456607.89</v>
      </c>
      <c r="G130" s="17"/>
    </row>
    <row r="131" spans="1:7" ht="12.75">
      <c r="A131" s="16" t="s">
        <v>198</v>
      </c>
      <c r="B131" s="10">
        <v>396686.45</v>
      </c>
      <c r="C131" s="67">
        <v>423557.85</v>
      </c>
      <c r="D131" s="67">
        <v>382852.15</v>
      </c>
      <c r="E131" s="55">
        <v>305904.6</v>
      </c>
      <c r="F131" s="68">
        <v>1509001.05</v>
      </c>
      <c r="G131" s="17"/>
    </row>
    <row r="132" spans="1:7" ht="12.75">
      <c r="A132" s="16" t="s">
        <v>199</v>
      </c>
      <c r="B132" s="10">
        <f>220956.93+166515.2</f>
        <v>387472.13</v>
      </c>
      <c r="C132" s="67">
        <v>414356.17</v>
      </c>
      <c r="D132" s="67">
        <v>368972.43</v>
      </c>
      <c r="E132" s="55">
        <f>277968.02+32500.72</f>
        <v>310468.74</v>
      </c>
      <c r="F132" s="68">
        <f aca="true" t="shared" si="6" ref="F132:F139">SUM(B132:E132)</f>
        <v>1481269.47</v>
      </c>
      <c r="G132" s="17"/>
    </row>
    <row r="133" spans="1:7" ht="12.75">
      <c r="A133" s="16" t="s">
        <v>203</v>
      </c>
      <c r="B133" s="10">
        <f>228044.65+184902.59</f>
        <v>412947.24</v>
      </c>
      <c r="C133" s="67">
        <v>442384.74</v>
      </c>
      <c r="D133" s="67">
        <v>396295.89</v>
      </c>
      <c r="E133" s="55">
        <f>278372.62+33296.19</f>
        <v>311668.81</v>
      </c>
      <c r="F133" s="68">
        <f t="shared" si="6"/>
        <v>1563296.6800000002</v>
      </c>
      <c r="G133" s="17"/>
    </row>
    <row r="134" spans="1:7" ht="12.75">
      <c r="A134" s="16" t="s">
        <v>204</v>
      </c>
      <c r="B134" s="10">
        <f>191345.43+203922.67-10437.4+35777.75</f>
        <v>420608.44999999995</v>
      </c>
      <c r="C134" s="67">
        <v>451713.48</v>
      </c>
      <c r="D134" s="67">
        <v>404368.94</v>
      </c>
      <c r="E134" s="55">
        <f>268624.92+10437.4+33385.92</f>
        <v>312448.24</v>
      </c>
      <c r="F134" s="68">
        <f t="shared" si="6"/>
        <v>1589139.1099999999</v>
      </c>
      <c r="G134" s="17"/>
    </row>
    <row r="135" spans="1:7" ht="12.75">
      <c r="A135" s="16" t="s">
        <v>205</v>
      </c>
      <c r="B135" s="10">
        <f>334726.2+121676.15-10449.82-21236.26</f>
        <v>424716.26999999996</v>
      </c>
      <c r="C135" s="67">
        <v>471202.4</v>
      </c>
      <c r="D135" s="67">
        <v>407680.14</v>
      </c>
      <c r="E135" s="55">
        <f>265389.14+10449.82+33959.89</f>
        <v>309798.85000000003</v>
      </c>
      <c r="F135" s="68">
        <f t="shared" si="6"/>
        <v>1613397.6600000001</v>
      </c>
      <c r="G135" s="17"/>
    </row>
    <row r="136" spans="1:7" ht="12.75">
      <c r="A136" s="16" t="s">
        <v>206</v>
      </c>
      <c r="B136" s="10">
        <f>340374.67+95867.35-10256.25+11785.12</f>
        <v>437770.89</v>
      </c>
      <c r="C136" s="67">
        <v>495573.59</v>
      </c>
      <c r="D136" s="67">
        <v>438513.65</v>
      </c>
      <c r="E136" s="55">
        <f>263008.67+10256.25+34795.12</f>
        <v>308060.04</v>
      </c>
      <c r="F136" s="68">
        <f t="shared" si="6"/>
        <v>1679918.17</v>
      </c>
      <c r="G136" s="17"/>
    </row>
    <row r="137" spans="1:7" ht="12.75">
      <c r="A137" s="16" t="s">
        <v>207</v>
      </c>
      <c r="B137" s="10">
        <f>322587.71+110865.9+23838.72</f>
        <v>457292.32999999996</v>
      </c>
      <c r="C137" s="67">
        <v>491480.58</v>
      </c>
      <c r="D137" s="67">
        <v>444331.3</v>
      </c>
      <c r="E137" s="55">
        <f>263300.15+10340.8+34744</f>
        <v>308384.95</v>
      </c>
      <c r="F137" s="68">
        <f t="shared" si="6"/>
        <v>1701489.16</v>
      </c>
      <c r="G137" s="17"/>
    </row>
    <row r="138" spans="1:7" ht="12.75">
      <c r="A138" s="16" t="s">
        <v>208</v>
      </c>
      <c r="B138" s="10">
        <f>284246.93+166499.88-10485.68+29730.01</f>
        <v>469991.14</v>
      </c>
      <c r="C138" s="67">
        <v>520206.72</v>
      </c>
      <c r="D138" s="67">
        <v>455720.49</v>
      </c>
      <c r="E138" s="55">
        <f>264344.88+10485.68+35299.03</f>
        <v>310129.58999999997</v>
      </c>
      <c r="F138" s="68">
        <f t="shared" si="6"/>
        <v>1756047.94</v>
      </c>
      <c r="G138" s="17"/>
    </row>
    <row r="139" spans="1:7" ht="12.75">
      <c r="A139" s="16" t="s">
        <v>209</v>
      </c>
      <c r="B139" s="10">
        <f>312389.8+91729.6-10506.4+80881.04</f>
        <v>474494.04</v>
      </c>
      <c r="C139" s="67">
        <v>530701.92</v>
      </c>
      <c r="D139" s="67">
        <v>448414.83</v>
      </c>
      <c r="E139" s="55">
        <f>263537.08+10506.4+36009.76</f>
        <v>310053.24000000005</v>
      </c>
      <c r="F139" s="68">
        <f t="shared" si="6"/>
        <v>1763664.03</v>
      </c>
      <c r="G139" s="77"/>
    </row>
    <row r="140" spans="1:7" ht="12.75">
      <c r="A140" s="78" t="s">
        <v>210</v>
      </c>
      <c r="B140" s="10">
        <f>455499.11+32812.77</f>
        <v>488311.88</v>
      </c>
      <c r="C140" s="67">
        <v>547068.96</v>
      </c>
      <c r="D140" s="67">
        <v>465912.19</v>
      </c>
      <c r="E140" s="55">
        <f>295806.42+18428.34</f>
        <v>314234.76</v>
      </c>
      <c r="F140" s="68">
        <f aca="true" t="shared" si="7" ref="F140:F145">SUM(B140:E140)</f>
        <v>1815527.79</v>
      </c>
      <c r="G140" s="17"/>
    </row>
    <row r="141" spans="1:7" ht="12.75">
      <c r="A141" s="16" t="s">
        <v>213</v>
      </c>
      <c r="B141" s="10">
        <f>434060.87+27626.57</f>
        <v>461687.44</v>
      </c>
      <c r="C141" s="67">
        <v>499320.2</v>
      </c>
      <c r="D141" s="67">
        <v>438453.05</v>
      </c>
      <c r="E141" s="55">
        <f>297667.84+3570.6</f>
        <v>301238.44</v>
      </c>
      <c r="F141" s="68">
        <f t="shared" si="7"/>
        <v>1700699.13</v>
      </c>
      <c r="G141" s="77"/>
    </row>
    <row r="142" spans="1:7" ht="12.75">
      <c r="A142" s="78" t="s">
        <v>214</v>
      </c>
      <c r="B142" s="10">
        <f>364412.37+95773.09</f>
        <v>460185.45999999996</v>
      </c>
      <c r="C142" s="67">
        <v>487030.42</v>
      </c>
      <c r="D142" s="67">
        <v>429782.67</v>
      </c>
      <c r="E142" s="55">
        <f>296017+4474.89</f>
        <v>300491.89</v>
      </c>
      <c r="F142" s="68">
        <f t="shared" si="7"/>
        <v>1677490.44</v>
      </c>
      <c r="G142" s="77"/>
    </row>
    <row r="143" spans="1:7" ht="12.75">
      <c r="A143" s="16" t="s">
        <v>215</v>
      </c>
      <c r="B143" s="10">
        <f>324453.29+121923.99</f>
        <v>446377.27999999997</v>
      </c>
      <c r="C143" s="67">
        <v>471752.19</v>
      </c>
      <c r="D143" s="67">
        <v>415337.53</v>
      </c>
      <c r="E143" s="55">
        <f>299489.34+4483.69</f>
        <v>303973.03</v>
      </c>
      <c r="F143" s="68">
        <f t="shared" si="7"/>
        <v>1637440.03</v>
      </c>
      <c r="G143" s="77"/>
    </row>
    <row r="144" spans="1:7" ht="12.75">
      <c r="A144" s="16" t="s">
        <v>216</v>
      </c>
      <c r="B144" s="10">
        <f>73562.16+341293.75</f>
        <v>414855.91000000003</v>
      </c>
      <c r="C144" s="67">
        <v>441965.22</v>
      </c>
      <c r="D144" s="67">
        <v>386006.83</v>
      </c>
      <c r="E144" s="55">
        <f>300149.19+5120.16</f>
        <v>305269.35</v>
      </c>
      <c r="F144" s="68">
        <f t="shared" si="7"/>
        <v>1548097.31</v>
      </c>
      <c r="G144" s="77"/>
    </row>
    <row r="145" spans="1:7" ht="12.75">
      <c r="A145" s="16" t="s">
        <v>217</v>
      </c>
      <c r="B145" s="53">
        <v>411934.52</v>
      </c>
      <c r="C145" s="53">
        <v>396114.96</v>
      </c>
      <c r="D145" s="53">
        <v>361073.46</v>
      </c>
      <c r="E145" s="53">
        <v>300943.56</v>
      </c>
      <c r="F145" s="68">
        <f t="shared" si="7"/>
        <v>1470066.5</v>
      </c>
      <c r="G145" s="77"/>
    </row>
    <row r="146" spans="1:7" ht="12.75">
      <c r="A146" s="16" t="s">
        <v>218</v>
      </c>
      <c r="B146" s="53">
        <v>422414.99</v>
      </c>
      <c r="C146" s="53">
        <v>446100.31</v>
      </c>
      <c r="D146" s="53">
        <v>393286.1</v>
      </c>
      <c r="E146" s="53">
        <v>306991.63</v>
      </c>
      <c r="F146" s="68">
        <v>1568793.03</v>
      </c>
      <c r="G146" s="77"/>
    </row>
    <row r="147" spans="1:7" ht="12.75">
      <c r="A147" s="16" t="s">
        <v>219</v>
      </c>
      <c r="B147" s="53">
        <v>428469.71</v>
      </c>
      <c r="C147" s="53">
        <v>446603.86</v>
      </c>
      <c r="D147" s="53">
        <v>404928.03</v>
      </c>
      <c r="E147" s="53">
        <v>311386.57</v>
      </c>
      <c r="F147" s="100">
        <v>1591388.1700000002</v>
      </c>
      <c r="G147" s="77"/>
    </row>
    <row r="148" spans="1:7" ht="12.75">
      <c r="A148" s="16" t="s">
        <v>220</v>
      </c>
      <c r="B148" s="53">
        <v>423764.09</v>
      </c>
      <c r="C148" s="53">
        <v>454811.73</v>
      </c>
      <c r="D148" s="53">
        <v>414212.16</v>
      </c>
      <c r="E148" s="53">
        <v>315769.61</v>
      </c>
      <c r="F148" s="100">
        <v>1608557.5899999999</v>
      </c>
      <c r="G148" s="77"/>
    </row>
    <row r="149" spans="1:7" ht="12.75">
      <c r="A149" s="16" t="s">
        <v>234</v>
      </c>
      <c r="B149" s="53">
        <f>Sheet1!C181</f>
        <v>467768.67</v>
      </c>
      <c r="C149" s="53">
        <f>Sheet1!D181</f>
        <v>492875.41</v>
      </c>
      <c r="D149" s="53">
        <f>Sheet1!E181</f>
        <v>433517.08</v>
      </c>
      <c r="E149" s="53">
        <f>Sheet1!F181</f>
        <v>319597.39</v>
      </c>
      <c r="F149" s="100">
        <f>Sheet1!G181</f>
        <v>1713758.5499999998</v>
      </c>
      <c r="G149" s="77"/>
    </row>
    <row r="150" spans="1:7" ht="12.75">
      <c r="A150" s="16" t="s">
        <v>237</v>
      </c>
      <c r="B150" s="53">
        <f>Sheet1!C182</f>
        <v>484377.48</v>
      </c>
      <c r="C150" s="53">
        <f>Sheet1!D182</f>
        <v>511127.8</v>
      </c>
      <c r="D150" s="53">
        <f>Sheet1!E182</f>
        <v>447297.59</v>
      </c>
      <c r="E150" s="53">
        <f>Sheet1!F182</f>
        <v>321204.64</v>
      </c>
      <c r="F150" s="100">
        <f>Sheet1!G182</f>
        <v>1764007.5100000002</v>
      </c>
      <c r="G150" s="77"/>
    </row>
    <row r="151" spans="1:7" ht="12.75">
      <c r="A151" s="16" t="str">
        <f>Sheet1!B183</f>
        <v>   03/12</v>
      </c>
      <c r="B151" s="53">
        <f>Sheet1!C183</f>
        <v>494412.49</v>
      </c>
      <c r="C151" s="53">
        <f>Sheet1!D183</f>
        <v>531171.99</v>
      </c>
      <c r="D151" s="53">
        <f>Sheet1!E183</f>
        <v>456071.11</v>
      </c>
      <c r="E151" s="53">
        <f>Sheet1!F183</f>
        <v>319586.18</v>
      </c>
      <c r="F151" s="100">
        <f>Sheet1!G183</f>
        <v>1801241.7699999998</v>
      </c>
      <c r="G151" s="77"/>
    </row>
    <row r="152" spans="1:7" ht="12.75">
      <c r="A152" s="78" t="s">
        <v>239</v>
      </c>
      <c r="B152" s="53">
        <f>Sheet1!C184</f>
        <v>480462.61</v>
      </c>
      <c r="C152" s="53">
        <f>Sheet1!D184</f>
        <v>518048.34</v>
      </c>
      <c r="D152" s="53">
        <f>Sheet1!E184</f>
        <v>446777.27</v>
      </c>
      <c r="E152" s="53">
        <f>Sheet1!F184</f>
        <v>322630.27</v>
      </c>
      <c r="F152" s="100">
        <f>Sheet1!G184</f>
        <v>1767918.49</v>
      </c>
      <c r="G152" s="77"/>
    </row>
    <row r="153" spans="1:7" ht="12.75">
      <c r="A153" s="16" t="s">
        <v>240</v>
      </c>
      <c r="B153" s="53">
        <f>Sheet1!C187</f>
        <v>422545.77</v>
      </c>
      <c r="C153" s="53">
        <f>Sheet1!D187</f>
        <v>447962.97</v>
      </c>
      <c r="D153" s="53">
        <f>Sheet1!E187</f>
        <v>394335.34</v>
      </c>
      <c r="E153" s="53">
        <f>Sheet1!F187</f>
        <v>306724.9</v>
      </c>
      <c r="F153" s="100">
        <f>Sheet1!G187</f>
        <v>1587718.49</v>
      </c>
      <c r="G153" s="77"/>
    </row>
    <row r="154" spans="1:7" ht="12.75">
      <c r="A154" s="78" t="s">
        <v>241</v>
      </c>
      <c r="B154" s="53">
        <f>Sheet1!C188</f>
        <v>433949.32</v>
      </c>
      <c r="C154" s="53">
        <f>Sheet1!D188</f>
        <v>462855.42</v>
      </c>
      <c r="D154" s="53">
        <f>Sheet1!E188</f>
        <v>405580.05</v>
      </c>
      <c r="E154" s="53">
        <f>Sheet1!F188</f>
        <v>308828.7</v>
      </c>
      <c r="F154" s="100">
        <f>Sheet1!G188</f>
        <v>1611213.49</v>
      </c>
      <c r="G154" s="77"/>
    </row>
    <row r="155" spans="1:7" ht="12.75">
      <c r="A155" s="78" t="s">
        <v>245</v>
      </c>
      <c r="B155" s="53">
        <f>Sheet1!C189</f>
        <v>437749.02</v>
      </c>
      <c r="C155" s="53">
        <f>Sheet1!D189</f>
        <v>459550.44</v>
      </c>
      <c r="D155" s="53">
        <f>Sheet1!E189</f>
        <v>412594.08</v>
      </c>
      <c r="E155" s="53">
        <f>Sheet1!F189</f>
        <v>313560.79</v>
      </c>
      <c r="F155" s="100">
        <f>Sheet1!G189</f>
        <v>1623454.33</v>
      </c>
      <c r="G155" s="77"/>
    </row>
    <row r="156" spans="1:7" ht="12.75">
      <c r="A156" s="78" t="s">
        <v>246</v>
      </c>
      <c r="B156" s="53">
        <f>Sheet1!C190</f>
        <v>452838.29</v>
      </c>
      <c r="C156" s="53">
        <f>Sheet1!D190</f>
        <v>470989.9</v>
      </c>
      <c r="D156" s="53">
        <f>Sheet1!E190</f>
        <v>419710.03</v>
      </c>
      <c r="E156" s="53">
        <f>Sheet1!F190</f>
        <v>314448.67</v>
      </c>
      <c r="F156" s="100">
        <f>Sheet1!G190</f>
        <v>1657986.89</v>
      </c>
      <c r="G156" s="77"/>
    </row>
    <row r="157" spans="1:7" ht="12.75">
      <c r="A157" s="78" t="s">
        <v>247</v>
      </c>
      <c r="B157" s="53">
        <f>Sheet1!C191</f>
        <v>460849.18</v>
      </c>
      <c r="C157" s="53">
        <f>Sheet1!D191</f>
        <v>473744.27</v>
      </c>
      <c r="D157" s="53">
        <f>Sheet1!E191</f>
        <v>434980.02</v>
      </c>
      <c r="E157" s="53">
        <f>Sheet1!F191</f>
        <v>316270.28</v>
      </c>
      <c r="F157" s="100">
        <f>Sheet1!G191</f>
        <v>1685843.75</v>
      </c>
      <c r="G157" s="77"/>
    </row>
    <row r="158" spans="1:7" ht="12.75">
      <c r="A158" s="78" t="s">
        <v>248</v>
      </c>
      <c r="B158" s="53">
        <f>Sheet1!C192</f>
        <v>444025.25</v>
      </c>
      <c r="C158" s="53">
        <f>Sheet1!D192</f>
        <v>469949.12</v>
      </c>
      <c r="D158" s="53">
        <f>Sheet1!E192</f>
        <v>429531.81</v>
      </c>
      <c r="E158" s="53">
        <f>Sheet1!F192</f>
        <v>317553.02</v>
      </c>
      <c r="F158" s="100">
        <f>Sheet1!G192</f>
        <v>1661059.2</v>
      </c>
      <c r="G158" s="77"/>
    </row>
    <row r="159" spans="1:7" ht="13.5" thickBot="1">
      <c r="A159" s="106" t="s">
        <v>249</v>
      </c>
      <c r="B159" s="53">
        <f>Sheet1!C193</f>
        <v>448755.01</v>
      </c>
      <c r="C159" s="53">
        <f>Sheet1!D193</f>
        <v>472874.69</v>
      </c>
      <c r="D159" s="53">
        <f>Sheet1!E193</f>
        <v>429341.04</v>
      </c>
      <c r="E159" s="53">
        <f>Sheet1!F193</f>
        <v>318072.68</v>
      </c>
      <c r="F159" s="100">
        <f>Sheet1!G193</f>
        <v>1669043.42</v>
      </c>
      <c r="G159" s="76"/>
    </row>
    <row r="160" spans="1:6" ht="13.5" thickTop="1">
      <c r="A160" s="107" t="s">
        <v>250</v>
      </c>
      <c r="B160" s="53">
        <f>Sheet1!C194</f>
        <v>446038.57</v>
      </c>
      <c r="C160" s="53">
        <f>Sheet1!D194</f>
        <v>481163.72</v>
      </c>
      <c r="D160" s="53">
        <f>Sheet1!E194</f>
        <v>445215.99</v>
      </c>
      <c r="E160" s="53">
        <f>Sheet1!F194</f>
        <v>317644.77</v>
      </c>
      <c r="F160" s="100">
        <f>Sheet1!G194</f>
        <v>1690063.05</v>
      </c>
    </row>
    <row r="161" spans="1:6" ht="12.75">
      <c r="A161" s="23" t="s">
        <v>251</v>
      </c>
      <c r="B161" s="53">
        <f>Sheet1!C195</f>
        <v>466616.82</v>
      </c>
      <c r="C161" s="53">
        <f>Sheet1!D195</f>
        <v>503481.27</v>
      </c>
      <c r="D161" s="53">
        <f>Sheet1!E195</f>
        <v>487099.2</v>
      </c>
      <c r="E161" s="53">
        <f>Sheet1!F195</f>
        <v>316291.77</v>
      </c>
      <c r="F161" s="100">
        <f>Sheet1!G195</f>
        <v>1773489.06</v>
      </c>
    </row>
    <row r="162" spans="1:6" ht="12.75">
      <c r="A162" s="23" t="s">
        <v>252</v>
      </c>
      <c r="B162" s="53">
        <f>Sheet1!C198</f>
        <v>468202.08</v>
      </c>
      <c r="C162" s="53">
        <f>Sheet1!D198</f>
        <v>503981.4</v>
      </c>
      <c r="D162" s="53">
        <f>Sheet1!E198</f>
        <v>490315.06</v>
      </c>
      <c r="E162" s="53">
        <f>Sheet1!F198</f>
        <v>321581.29</v>
      </c>
      <c r="F162" s="53">
        <f>Sheet1!G198</f>
        <v>1784079.83</v>
      </c>
    </row>
    <row r="163" spans="1:6" ht="12.75">
      <c r="A163" s="23" t="s">
        <v>256</v>
      </c>
      <c r="B163" s="53">
        <f>Sheet1!C199</f>
        <v>480172.7</v>
      </c>
      <c r="C163" s="53">
        <f>Sheet1!D199</f>
        <v>512534.22</v>
      </c>
      <c r="D163" s="53">
        <f>Sheet1!E199</f>
        <v>510307</v>
      </c>
      <c r="E163" s="53">
        <f>Sheet1!F199</f>
        <v>321731</v>
      </c>
      <c r="F163" s="53">
        <f>Sheet1!G199</f>
        <v>1824744.92</v>
      </c>
    </row>
    <row r="164" spans="1:6" ht="12.75">
      <c r="A164" s="23" t="s">
        <v>257</v>
      </c>
      <c r="B164" s="53">
        <f>Sheet1!C200</f>
        <v>484262.91</v>
      </c>
      <c r="C164" s="53">
        <f>Sheet1!D200</f>
        <v>509868.59</v>
      </c>
      <c r="D164" s="53">
        <f>Sheet1!E200</f>
        <v>531861.6</v>
      </c>
      <c r="E164" s="53">
        <f>Sheet1!F200</f>
        <v>325431.06</v>
      </c>
      <c r="F164" s="53">
        <f>Sheet1!G200</f>
        <v>1851424.1600000001</v>
      </c>
    </row>
    <row r="165" spans="1:6" ht="12.75">
      <c r="A165" s="23" t="s">
        <v>260</v>
      </c>
      <c r="B165" s="53">
        <f>Sheet1!C203</f>
        <v>481484.54</v>
      </c>
      <c r="C165" s="53">
        <f>Sheet1!D203</f>
        <v>508725.36</v>
      </c>
      <c r="D165" s="53">
        <f>Sheet1!E203</f>
        <v>517965.19</v>
      </c>
      <c r="E165" s="53">
        <f>Sheet1!F203</f>
        <v>302906.17</v>
      </c>
      <c r="F165" s="53">
        <f>Sheet1!G203</f>
        <v>1811081.2599999998</v>
      </c>
    </row>
    <row r="166" spans="1:6" ht="12.75">
      <c r="A166" s="23" t="s">
        <v>261</v>
      </c>
      <c r="B166" s="53">
        <f>Sheet1!C204</f>
        <v>467903.09</v>
      </c>
      <c r="C166" s="53">
        <f>Sheet1!D204</f>
        <v>503397.35</v>
      </c>
      <c r="D166" s="53">
        <f>Sheet1!E204</f>
        <v>505662.03</v>
      </c>
      <c r="E166" s="53">
        <f>Sheet1!F204</f>
        <v>294779.66</v>
      </c>
      <c r="F166" s="53">
        <f>Sheet1!G204</f>
        <v>1771742.13</v>
      </c>
    </row>
    <row r="167" spans="1:6" ht="12.75">
      <c r="A167" s="23" t="s">
        <v>262</v>
      </c>
      <c r="B167" s="53">
        <f>Sheet1!C205</f>
        <v>495917.3</v>
      </c>
      <c r="C167" s="53">
        <f>Sheet1!D205</f>
        <v>536128.33</v>
      </c>
      <c r="D167" s="53">
        <f>Sheet1!E205</f>
        <v>537748.86</v>
      </c>
      <c r="E167" s="53">
        <f>Sheet1!F205</f>
        <v>296323.47</v>
      </c>
      <c r="F167" s="53">
        <f>Sheet1!G205</f>
        <v>1866117.9599999997</v>
      </c>
    </row>
    <row r="168" spans="1:6" ht="12.75">
      <c r="A168" s="23" t="s">
        <v>263</v>
      </c>
      <c r="B168" s="53">
        <f>Sheet1!C206</f>
        <v>492724.2</v>
      </c>
      <c r="C168" s="53">
        <f>Sheet1!D206</f>
        <v>518639.31</v>
      </c>
      <c r="D168" s="53">
        <f>Sheet1!E206</f>
        <v>523296.15</v>
      </c>
      <c r="E168" s="53">
        <f>Sheet1!F206</f>
        <v>293824.47</v>
      </c>
      <c r="F168" s="53">
        <f>Sheet1!G206</f>
        <v>1828484.1300000001</v>
      </c>
    </row>
    <row r="169" spans="1:6" ht="12.75">
      <c r="A169" s="23" t="s">
        <v>264</v>
      </c>
      <c r="B169" s="53">
        <f>Sheet1!C207</f>
        <v>508614.36</v>
      </c>
      <c r="C169" s="53">
        <f>Sheet1!D207</f>
        <v>554625.97</v>
      </c>
      <c r="D169" s="53">
        <f>Sheet1!E207</f>
        <v>543726.08</v>
      </c>
      <c r="E169" s="53">
        <f>Sheet1!F207</f>
        <v>297859.76</v>
      </c>
      <c r="F169" s="53">
        <f>Sheet1!G207</f>
        <v>1904826.1700000002</v>
      </c>
    </row>
    <row r="170" spans="1:6" ht="12.75">
      <c r="A170" s="23" t="s">
        <v>265</v>
      </c>
      <c r="B170" s="53">
        <f>Sheet1!C208</f>
        <v>530738.67</v>
      </c>
      <c r="C170" s="53">
        <f>Sheet1!D208</f>
        <v>571858.21</v>
      </c>
      <c r="D170" s="53">
        <f>Sheet1!E208</f>
        <v>568279.56</v>
      </c>
      <c r="E170" s="53">
        <f>Sheet1!F208</f>
        <v>301551.8</v>
      </c>
      <c r="F170" s="53">
        <f>Sheet1!G208</f>
        <v>1972428.24</v>
      </c>
    </row>
    <row r="171" spans="1:6" ht="12.75">
      <c r="A171" s="23" t="s">
        <v>266</v>
      </c>
      <c r="B171" s="53">
        <f>Sheet1!C209</f>
        <v>559005.34</v>
      </c>
      <c r="C171" s="53">
        <f>Sheet1!D209</f>
        <v>586722.67</v>
      </c>
      <c r="D171" s="53">
        <f>Sheet1!E209</f>
        <v>591791.05</v>
      </c>
      <c r="E171" s="53">
        <f>Sheet1!F209</f>
        <v>300462.96</v>
      </c>
      <c r="F171" s="53">
        <f>Sheet1!G209</f>
        <v>2037982.02</v>
      </c>
    </row>
    <row r="172" spans="1:6" ht="12.75">
      <c r="A172" s="23" t="s">
        <v>267</v>
      </c>
      <c r="B172" s="53">
        <f>Sheet1!C210</f>
        <v>566467.46</v>
      </c>
      <c r="C172" s="53">
        <f>Sheet1!D210</f>
        <v>599108.16</v>
      </c>
      <c r="D172" s="53">
        <f>Sheet1!E210</f>
        <v>603379.71</v>
      </c>
      <c r="E172" s="53">
        <f>Sheet1!F210</f>
        <v>299950.08</v>
      </c>
      <c r="F172" s="53">
        <f>Sheet1!G210</f>
        <v>2068905.4100000001</v>
      </c>
    </row>
    <row r="173" spans="1:6" ht="12.75">
      <c r="A173" s="23" t="s">
        <v>269</v>
      </c>
      <c r="B173" s="53">
        <f>Sheet1!C211</f>
        <v>560003.34</v>
      </c>
      <c r="C173" s="53">
        <f>Sheet1!D211</f>
        <v>571833.15</v>
      </c>
      <c r="D173" s="53">
        <f>Sheet1!E211</f>
        <v>575581.35</v>
      </c>
      <c r="E173" s="53">
        <f>Sheet1!F211</f>
        <v>302225.2</v>
      </c>
      <c r="F173" s="53">
        <f>Sheet1!G211</f>
        <v>2009643.0399999998</v>
      </c>
    </row>
    <row r="174" spans="1:6" ht="12.75">
      <c r="A174" s="23" t="s">
        <v>270</v>
      </c>
      <c r="B174" s="53">
        <f>Sheet1!C212</f>
        <v>595290.5700000001</v>
      </c>
      <c r="C174" s="53">
        <f>Sheet1!D212</f>
        <v>596782.72</v>
      </c>
      <c r="D174" s="53">
        <f>Sheet1!E212</f>
        <v>597193.54</v>
      </c>
      <c r="E174" s="53">
        <f>Sheet1!F212</f>
        <v>304633.04</v>
      </c>
      <c r="F174" s="53">
        <f>Sheet1!G212</f>
        <v>2093899.87</v>
      </c>
    </row>
    <row r="175" spans="1:6" ht="12.75">
      <c r="A175" s="23" t="s">
        <v>271</v>
      </c>
      <c r="B175" s="53">
        <f>Sheet1!C213</f>
        <v>591534.12</v>
      </c>
      <c r="C175" s="53">
        <f>Sheet1!D213</f>
        <v>605949.02</v>
      </c>
      <c r="D175" s="53">
        <f>Sheet1!E213</f>
        <v>601676.18</v>
      </c>
      <c r="E175" s="53">
        <f>Sheet1!F213</f>
        <v>303339.2</v>
      </c>
      <c r="F175" s="53">
        <f>Sheet1!G213</f>
        <v>2102498.5200000005</v>
      </c>
    </row>
    <row r="176" spans="1:6" ht="12.75">
      <c r="A176" s="23" t="s">
        <v>272</v>
      </c>
      <c r="B176" s="53">
        <f>Sheet1!C214</f>
        <v>582509.61</v>
      </c>
      <c r="C176" s="53">
        <f>Sheet1!D214</f>
        <v>580705.52</v>
      </c>
      <c r="D176" s="53">
        <f>Sheet1!E214</f>
        <v>605205.86</v>
      </c>
      <c r="E176" s="53">
        <f>Sheet1!F214</f>
        <v>304762.76</v>
      </c>
      <c r="F176" s="53">
        <f>Sheet1!G214</f>
        <v>2073183.7499999998</v>
      </c>
    </row>
    <row r="177" spans="1:6" ht="12.75">
      <c r="A177" s="23" t="str">
        <f>Sheet1!B217</f>
        <v>   05/14</v>
      </c>
      <c r="B177" s="53">
        <f>Sheet1!C217</f>
        <v>559477.4</v>
      </c>
      <c r="C177" s="53">
        <f>Sheet1!D217</f>
        <v>559805.96</v>
      </c>
      <c r="D177" s="53">
        <f>Sheet1!E217</f>
        <v>586710.4</v>
      </c>
      <c r="E177" s="53">
        <f>Sheet1!F217</f>
        <v>292562.33</v>
      </c>
      <c r="F177" s="53">
        <f>Sheet1!G217</f>
        <v>1998556.0899999999</v>
      </c>
    </row>
    <row r="178" spans="1:6" ht="12.75">
      <c r="A178" s="23" t="str">
        <f>Sheet1!B220</f>
        <v>   06/14</v>
      </c>
      <c r="B178" s="53">
        <f>Sheet1!C220</f>
        <v>550379.88</v>
      </c>
      <c r="C178" s="53">
        <f>Sheet1!D220</f>
        <v>559695.34</v>
      </c>
      <c r="D178" s="53">
        <f>Sheet1!E220</f>
        <v>553674.99</v>
      </c>
      <c r="E178" s="53">
        <f>Sheet1!F220</f>
        <v>398180.04</v>
      </c>
      <c r="F178" s="53">
        <f>Sheet1!G220</f>
        <v>2061930.25</v>
      </c>
    </row>
    <row r="179" spans="1:6" ht="12.75">
      <c r="A179" s="23" t="str">
        <f>Sheet1!B221</f>
        <v>   07/14</v>
      </c>
      <c r="B179" s="53">
        <f>Sheet1!C221</f>
        <v>534874.36</v>
      </c>
      <c r="C179" s="53">
        <f>Sheet1!D221</f>
        <v>525816.19</v>
      </c>
      <c r="D179" s="53">
        <f>Sheet1!E221</f>
        <v>539019.18</v>
      </c>
      <c r="E179" s="53">
        <f>Sheet1!F221</f>
        <v>396855.34</v>
      </c>
      <c r="F179" s="53">
        <f>Sheet1!G221</f>
        <v>1996565.07</v>
      </c>
    </row>
    <row r="180" spans="1:6" ht="12.75">
      <c r="A180" s="23" t="str">
        <f>Sheet1!B222</f>
        <v>   08/14</v>
      </c>
      <c r="B180" s="53">
        <f>Sheet1!C222</f>
        <v>565764</v>
      </c>
      <c r="C180" s="53">
        <f>Sheet1!D222</f>
        <v>535517.95</v>
      </c>
      <c r="D180" s="53">
        <f>Sheet1!E222</f>
        <v>558067.54</v>
      </c>
      <c r="E180" s="53">
        <f>Sheet1!F222</f>
        <v>401174.21</v>
      </c>
      <c r="F180" s="53">
        <f>Sheet1!G222</f>
        <v>2060523.7</v>
      </c>
    </row>
    <row r="181" spans="1:6" ht="12.75">
      <c r="A181" s="23" t="str">
        <f>Sheet1!B223</f>
        <v>   09/14</v>
      </c>
      <c r="B181" s="53">
        <f>Sheet1!C223</f>
        <v>546805.51</v>
      </c>
      <c r="C181" s="53">
        <f>Sheet1!D223</f>
        <v>507792.59</v>
      </c>
      <c r="D181" s="53">
        <f>Sheet1!E223</f>
        <v>541749.26</v>
      </c>
      <c r="E181" s="53">
        <f>Sheet1!F223</f>
        <v>398027.31</v>
      </c>
      <c r="F181" s="53">
        <f>Sheet1!G223</f>
        <v>1994374.6700000002</v>
      </c>
    </row>
    <row r="182" spans="1:6" ht="12.75">
      <c r="A182" s="23" t="str">
        <f>Sheet1!B224</f>
        <v>   10/14</v>
      </c>
      <c r="B182" s="53">
        <f>Sheet1!C224</f>
        <v>545392.83</v>
      </c>
      <c r="C182" s="53">
        <f>Sheet1!D224</f>
        <v>542268.35</v>
      </c>
      <c r="D182" s="53">
        <f>Sheet1!E224</f>
        <v>552514.07</v>
      </c>
      <c r="E182" s="53">
        <f>Sheet1!F224</f>
        <v>400723.4</v>
      </c>
      <c r="F182" s="53">
        <f>Sheet1!G224</f>
        <v>2040898.65</v>
      </c>
    </row>
    <row r="183" spans="1:6" ht="12.75">
      <c r="A183" s="23" t="str">
        <f>Sheet1!B225</f>
        <v>   11/14</v>
      </c>
      <c r="B183" s="53">
        <f>Sheet1!C225</f>
        <v>544159.46</v>
      </c>
      <c r="C183" s="53">
        <f>Sheet1!D225</f>
        <v>535890.27</v>
      </c>
      <c r="D183" s="53">
        <f>Sheet1!E225</f>
        <v>568505.34</v>
      </c>
      <c r="E183" s="53">
        <f>Sheet1!F225</f>
        <v>403015.68</v>
      </c>
      <c r="F183" s="53">
        <f>Sheet1!G225</f>
        <v>2051570.7499999998</v>
      </c>
    </row>
    <row r="184" spans="1:6" ht="12.75">
      <c r="A184" s="23" t="str">
        <f>Sheet1!B226</f>
        <v>   12/14</v>
      </c>
      <c r="B184" s="53">
        <f>Sheet1!C226</f>
        <v>531789.51</v>
      </c>
      <c r="C184" s="53">
        <f>Sheet1!D226</f>
        <v>546816.1</v>
      </c>
      <c r="D184" s="53">
        <f>Sheet1!E226</f>
        <v>573316.16</v>
      </c>
      <c r="E184" s="53">
        <f>Sheet1!F226</f>
        <v>402000.87</v>
      </c>
      <c r="F184" s="53">
        <f>Sheet1!G226</f>
        <v>2053922.6400000001</v>
      </c>
    </row>
    <row r="185" spans="1:6" ht="12.75">
      <c r="A185" s="23" t="str">
        <f>Sheet1!B227</f>
        <v>   01/15</v>
      </c>
      <c r="B185" s="53">
        <f>Sheet1!C227</f>
        <v>519805.41</v>
      </c>
      <c r="C185" s="53">
        <f>Sheet1!D227</f>
        <v>528744.73</v>
      </c>
      <c r="D185" s="53">
        <f>Sheet1!E227</f>
        <v>556311.61</v>
      </c>
      <c r="E185" s="53">
        <f>Sheet1!F227</f>
        <v>406315.87</v>
      </c>
      <c r="F185" s="53">
        <f>Sheet1!G227</f>
        <v>2011177.62</v>
      </c>
    </row>
    <row r="186" spans="1:6" ht="12.75">
      <c r="A186" s="23" t="str">
        <f>Sheet1!B228</f>
        <v>   02/15</v>
      </c>
      <c r="B186" s="53">
        <f>Sheet1!C228</f>
        <v>556610.82</v>
      </c>
      <c r="C186" s="53">
        <f>Sheet1!D228</f>
        <v>558432.6</v>
      </c>
      <c r="D186" s="53">
        <f>Sheet1!E228</f>
        <v>584963</v>
      </c>
      <c r="E186" s="53">
        <f>Sheet1!F228</f>
        <v>406723.95</v>
      </c>
      <c r="F186" s="53">
        <f>Sheet1!G228</f>
        <v>2106730.37</v>
      </c>
    </row>
    <row r="187" spans="1:6" ht="12.75">
      <c r="A187" s="23" t="str">
        <f>Sheet1!B229</f>
        <v>   03/15</v>
      </c>
      <c r="B187" s="53">
        <f>Sheet1!C229</f>
        <v>544374.19</v>
      </c>
      <c r="C187" s="53">
        <f>Sheet1!D229</f>
        <v>562155</v>
      </c>
      <c r="D187" s="53">
        <f>Sheet1!E229</f>
        <v>572977.58</v>
      </c>
      <c r="E187" s="53">
        <f>Sheet1!F229</f>
        <v>407718.52</v>
      </c>
      <c r="F187" s="53">
        <f>Sheet1!G229</f>
        <v>2087225.29</v>
      </c>
    </row>
    <row r="188" spans="1:6" ht="12.75">
      <c r="A188" s="23" t="str">
        <f>Sheet1!B230</f>
        <v>   04/15</v>
      </c>
      <c r="B188" s="53">
        <f>Sheet1!C230</f>
        <v>536899.95</v>
      </c>
      <c r="C188" s="53">
        <f>Sheet1!D230</f>
        <v>550782.51</v>
      </c>
      <c r="D188" s="53">
        <f>Sheet1!E230</f>
        <v>582185.51</v>
      </c>
      <c r="E188" s="53">
        <f>Sheet1!F230</f>
        <v>407541.26</v>
      </c>
      <c r="F188" s="53">
        <f>Sheet1!G230</f>
        <v>2077409.23</v>
      </c>
    </row>
    <row r="189" spans="1:6" ht="12.75">
      <c r="A189" s="23" t="str">
        <f>Sheet1!B233</f>
        <v>   05/15 - </v>
      </c>
      <c r="B189" s="53">
        <f>Sheet1!C233</f>
        <v>510329.37</v>
      </c>
      <c r="C189" s="53">
        <f>Sheet1!D233</f>
        <v>524317.5</v>
      </c>
      <c r="D189" s="53">
        <f>Sheet1!E233</f>
        <v>554024.41</v>
      </c>
      <c r="E189" s="53">
        <f>Sheet1!F233</f>
        <v>386044.54</v>
      </c>
      <c r="F189" s="53">
        <f>Sheet1!G233</f>
        <v>1974715.82</v>
      </c>
    </row>
    <row r="190" spans="1:6" ht="12.75">
      <c r="A190" s="23" t="str">
        <f>Sheet1!B234</f>
        <v>   06/15</v>
      </c>
      <c r="B190" s="53">
        <f>Sheet1!C234</f>
        <v>493771.89</v>
      </c>
      <c r="C190" s="53">
        <f>Sheet1!D234</f>
        <v>523404.5</v>
      </c>
      <c r="D190" s="53">
        <f>Sheet1!E234</f>
        <v>542745.94</v>
      </c>
      <c r="E190" s="53">
        <f>Sheet1!F234</f>
        <v>382561.55</v>
      </c>
      <c r="F190" s="53">
        <f>Sheet1!G234</f>
        <v>1942483.8800000001</v>
      </c>
    </row>
    <row r="191" spans="1:6" ht="12.75">
      <c r="A191" s="23" t="str">
        <f>Sheet1!B235</f>
        <v>   07/15</v>
      </c>
      <c r="B191" s="53">
        <f>Sheet1!C235</f>
        <v>511372.84</v>
      </c>
      <c r="C191" s="53">
        <f>Sheet1!D235</f>
        <v>517521.74</v>
      </c>
      <c r="D191" s="53">
        <f>Sheet1!E235</f>
        <v>543077.86</v>
      </c>
      <c r="E191" s="53">
        <f>Sheet1!F235</f>
        <v>384608.26</v>
      </c>
      <c r="F191" s="53">
        <f>Sheet1!G235</f>
        <v>1956580.7</v>
      </c>
    </row>
    <row r="192" spans="1:6" ht="12.75">
      <c r="A192" s="23" t="str">
        <f>Sheet1!B236</f>
        <v>   08/15</v>
      </c>
      <c r="B192" s="53">
        <f>Sheet1!C236</f>
        <v>466256.78</v>
      </c>
      <c r="C192" s="53">
        <f>Sheet1!D236</f>
        <v>504860.95</v>
      </c>
      <c r="D192" s="53">
        <f>Sheet1!E236</f>
        <v>513402.37</v>
      </c>
      <c r="E192" s="53">
        <f>Sheet1!F236</f>
        <v>383303.59</v>
      </c>
      <c r="F192" s="53">
        <f>Sheet1!G236</f>
        <v>1867823.6900000002</v>
      </c>
    </row>
    <row r="193" spans="1:6" ht="12.75">
      <c r="A193" s="23" t="str">
        <f>Sheet1!B237</f>
        <v>   09/15</v>
      </c>
      <c r="B193" s="53">
        <f>Sheet1!C237</f>
        <v>448719.24</v>
      </c>
      <c r="C193" s="53">
        <f>Sheet1!D237</f>
        <v>486018.77</v>
      </c>
      <c r="D193" s="53">
        <f>Sheet1!E237</f>
        <v>497784.2</v>
      </c>
      <c r="E193" s="53">
        <f>Sheet1!F237</f>
        <v>384713</v>
      </c>
      <c r="F193" s="53">
        <f>Sheet1!G237</f>
        <v>1817235.21</v>
      </c>
    </row>
    <row r="194" spans="1:6" ht="12.75">
      <c r="A194" s="23" t="str">
        <f>Sheet1!B238</f>
        <v>   10/15</v>
      </c>
      <c r="B194" s="53">
        <f>Sheet1!C238</f>
        <v>468101.37</v>
      </c>
      <c r="C194" s="53">
        <f>Sheet1!D238</f>
        <v>504567.02</v>
      </c>
      <c r="D194" s="53">
        <f>Sheet1!E238</f>
        <v>532872.07</v>
      </c>
      <c r="E194" s="53">
        <f>Sheet1!F238</f>
        <v>386028.18</v>
      </c>
      <c r="F194" s="53">
        <f>Sheet1!G238</f>
        <v>1891568.64</v>
      </c>
    </row>
    <row r="195" spans="1:6" ht="12.75">
      <c r="A195" s="23" t="str">
        <f>Sheet1!B239</f>
        <v>   11/15</v>
      </c>
      <c r="B195" s="53">
        <f>Sheet1!C239</f>
        <v>463020.15</v>
      </c>
      <c r="C195" s="53">
        <f>Sheet1!D239</f>
        <v>521383.62</v>
      </c>
      <c r="D195" s="53">
        <f>Sheet1!E239</f>
        <v>537514.41</v>
      </c>
      <c r="E195" s="53">
        <f>Sheet1!F239</f>
        <v>384938.41</v>
      </c>
      <c r="F195" s="53">
        <f>Sheet1!G239</f>
        <v>1906856.59</v>
      </c>
    </row>
    <row r="196" spans="1:6" ht="12.75">
      <c r="A196" s="23" t="str">
        <f>Sheet1!B240</f>
        <v>   12/15</v>
      </c>
      <c r="B196" s="53">
        <f>Sheet1!C240</f>
        <v>456578.75</v>
      </c>
      <c r="C196" s="53">
        <f>Sheet1!D240</f>
        <v>492858.2</v>
      </c>
      <c r="D196" s="53">
        <f>Sheet1!E240</f>
        <v>514103.47</v>
      </c>
      <c r="E196" s="53">
        <f>Sheet1!F240</f>
        <v>383558.93</v>
      </c>
      <c r="F196" s="53">
        <f>Sheet1!G240</f>
        <v>1847099.3499999999</v>
      </c>
    </row>
    <row r="197" spans="1:6" ht="12.75">
      <c r="A197" s="23" t="str">
        <f>Sheet1!B241</f>
        <v>   01/16</v>
      </c>
      <c r="B197" s="53">
        <f>Sheet1!C241</f>
        <v>425913.94</v>
      </c>
      <c r="C197" s="53">
        <f>Sheet1!D241</f>
        <v>466020.25</v>
      </c>
      <c r="D197" s="53">
        <f>Sheet1!E241</f>
        <v>479663.88</v>
      </c>
      <c r="E197" s="53">
        <f>Sheet1!F241</f>
        <v>389044</v>
      </c>
      <c r="F197" s="53">
        <f>Sheet1!G241</f>
        <v>1760642.0699999998</v>
      </c>
    </row>
    <row r="198" spans="1:6" ht="12.75">
      <c r="A198" s="23" t="str">
        <f>Sheet1!B242</f>
        <v>   02/16</v>
      </c>
      <c r="B198" s="53">
        <f>Sheet1!C242</f>
        <v>420689.1</v>
      </c>
      <c r="C198" s="53">
        <f>Sheet1!D242</f>
        <v>471685.64</v>
      </c>
      <c r="D198" s="53">
        <f>Sheet1!E242</f>
        <v>479593.57</v>
      </c>
      <c r="E198" s="53">
        <f>Sheet1!F242</f>
        <v>388287.12</v>
      </c>
      <c r="F198" s="53">
        <f>Sheet1!G242</f>
        <v>1760255.4300000002</v>
      </c>
    </row>
    <row r="199" spans="1:6" ht="12.75">
      <c r="A199" s="23" t="str">
        <f>Sheet1!B243</f>
        <v>   03/16</v>
      </c>
      <c r="B199" s="53">
        <f>Sheet1!C243</f>
        <v>441697.9</v>
      </c>
      <c r="C199" s="53">
        <f>Sheet1!D243</f>
        <v>503492.49</v>
      </c>
      <c r="D199" s="53">
        <f>Sheet1!E243</f>
        <v>519078.71</v>
      </c>
      <c r="E199" s="53">
        <f>Sheet1!F243</f>
        <v>393115.92</v>
      </c>
      <c r="F199" s="53">
        <f>Sheet1!G243</f>
        <v>1857385.02</v>
      </c>
    </row>
    <row r="200" spans="1:6" ht="12.75">
      <c r="A200" s="23" t="str">
        <f>Sheet1!B244</f>
        <v>   04/16</v>
      </c>
      <c r="B200" s="53">
        <f>Sheet1!C244</f>
        <v>443338.57</v>
      </c>
      <c r="C200" s="53">
        <f>Sheet1!D244</f>
        <v>512308.48</v>
      </c>
      <c r="D200" s="53">
        <f>Sheet1!E244</f>
        <v>525355.57</v>
      </c>
      <c r="E200" s="53">
        <f>Sheet1!F244</f>
        <v>395724.16</v>
      </c>
      <c r="F200" s="53">
        <f>Sheet1!G244</f>
        <v>1876726.78</v>
      </c>
    </row>
    <row r="201" spans="1:6" ht="12.75">
      <c r="A201" s="23" t="str">
        <f>Sheet1!B247</f>
        <v>   05/16</v>
      </c>
      <c r="B201" s="53">
        <f>Sheet1!C247</f>
        <v>426710.27</v>
      </c>
      <c r="C201" s="53">
        <f>Sheet1!D247</f>
        <v>499519.98</v>
      </c>
      <c r="D201" s="53">
        <f>Sheet1!E247</f>
        <v>500929.48</v>
      </c>
      <c r="E201" s="53">
        <f>Sheet1!F247</f>
        <v>375704.08</v>
      </c>
      <c r="F201" s="53">
        <f>Sheet1!G247</f>
        <v>1802863.81</v>
      </c>
    </row>
    <row r="202" spans="1:6" ht="12.75">
      <c r="A202" s="23" t="str">
        <f>Sheet1!B248</f>
        <v>   06/16</v>
      </c>
      <c r="B202" s="53">
        <f>Sheet1!C248</f>
        <v>426044.33</v>
      </c>
      <c r="C202" s="53">
        <f>Sheet1!D248</f>
        <v>507923.43</v>
      </c>
      <c r="D202" s="53">
        <f>Sheet1!E248</f>
        <v>498438.02</v>
      </c>
      <c r="E202" s="53">
        <f>Sheet1!F248</f>
        <v>382337.41</v>
      </c>
      <c r="F202" s="53">
        <f>Sheet1!G248</f>
        <v>1814743.19</v>
      </c>
    </row>
    <row r="203" spans="1:6" ht="12.75">
      <c r="A203" s="23" t="str">
        <f>Sheet1!B249</f>
        <v>   07/16</v>
      </c>
      <c r="B203" s="53">
        <f>Sheet1!C249</f>
        <v>450382.67</v>
      </c>
      <c r="C203" s="53">
        <f>Sheet1!D249</f>
        <v>532989.08</v>
      </c>
      <c r="D203" s="53">
        <f>Sheet1!E249</f>
        <v>515891.04</v>
      </c>
      <c r="E203" s="53">
        <f>Sheet1!F249</f>
        <v>384616.47</v>
      </c>
      <c r="F203" s="53">
        <f>Sheet1!G249</f>
        <v>1883879.26</v>
      </c>
    </row>
    <row r="204" spans="1:6" ht="12.75">
      <c r="A204" s="23" t="str">
        <f>Sheet1!B250</f>
        <v>   08/16</v>
      </c>
      <c r="B204" s="53">
        <f>Sheet1!C250</f>
        <v>449735.21</v>
      </c>
      <c r="C204" s="53">
        <f>Sheet1!D250</f>
        <v>541971.13</v>
      </c>
      <c r="D204" s="53">
        <f>Sheet1!E250</f>
        <v>519004.1</v>
      </c>
      <c r="E204" s="53">
        <f>Sheet1!F250</f>
        <v>384419.79</v>
      </c>
      <c r="F204" s="53">
        <f>Sheet1!G250</f>
        <v>1895130.23</v>
      </c>
    </row>
    <row r="205" spans="1:6" ht="12.75">
      <c r="A205" s="23" t="str">
        <f>Sheet1!B251</f>
        <v>   09/16</v>
      </c>
      <c r="B205" s="53">
        <f>Sheet1!C251</f>
        <v>449489.67</v>
      </c>
      <c r="C205" s="53">
        <f>Sheet1!D251</f>
        <v>543619.25</v>
      </c>
      <c r="D205" s="53">
        <f>Sheet1!E251</f>
        <v>509578.83</v>
      </c>
      <c r="E205" s="53">
        <f>Sheet1!F251</f>
        <v>385346.39</v>
      </c>
      <c r="F205" s="53">
        <f>Sheet1!G251</f>
        <v>1888034.1400000001</v>
      </c>
    </row>
    <row r="206" spans="1:6" ht="12.75">
      <c r="A206" s="23" t="str">
        <f>Sheet1!B252</f>
        <v>   10/16</v>
      </c>
      <c r="B206" s="53">
        <f>Sheet1!C252</f>
        <v>442409.49</v>
      </c>
      <c r="C206" s="53">
        <f>Sheet1!D252</f>
        <v>522889.72</v>
      </c>
      <c r="D206" s="53">
        <f>Sheet1!E252</f>
        <v>507255.22</v>
      </c>
      <c r="E206" s="53">
        <f>Sheet1!F252</f>
        <v>382468</v>
      </c>
      <c r="F206" s="53">
        <f>Sheet1!G252</f>
        <v>1855022.43</v>
      </c>
    </row>
    <row r="207" spans="1:6" ht="12.75">
      <c r="A207" s="23" t="str">
        <f>Sheet1!B253</f>
        <v>   11/16</v>
      </c>
      <c r="B207" s="53">
        <f>Sheet1!C253</f>
        <v>453231.56</v>
      </c>
      <c r="C207" s="53">
        <f>Sheet1!D253</f>
        <v>569827.57</v>
      </c>
      <c r="D207" s="53">
        <f>Sheet1!E253</f>
        <v>526110.87</v>
      </c>
      <c r="E207" s="53">
        <f>Sheet1!F253</f>
        <v>375028.94</v>
      </c>
      <c r="F207" s="53">
        <f>Sheet1!G253</f>
        <v>1924198.94</v>
      </c>
    </row>
    <row r="208" spans="1:6" ht="12.75">
      <c r="A208" s="23" t="str">
        <f>Sheet1!B254</f>
        <v>   12/16</v>
      </c>
      <c r="B208" s="53">
        <f>Sheet1!C254</f>
        <v>457622.21</v>
      </c>
      <c r="C208" s="53">
        <f>Sheet1!D254</f>
        <v>593419.25</v>
      </c>
      <c r="D208" s="53">
        <f>Sheet1!E254</f>
        <v>533771.27</v>
      </c>
      <c r="E208" s="53">
        <f>Sheet1!F254</f>
        <v>376765.78</v>
      </c>
      <c r="F208" s="53">
        <f>Sheet1!G254</f>
        <v>1961578.51</v>
      </c>
    </row>
    <row r="209" spans="1:6" ht="12.75">
      <c r="A209" s="23" t="str">
        <f>Sheet1!B255</f>
        <v>   01/17</v>
      </c>
      <c r="B209" s="53">
        <f>Sheet1!C255</f>
        <v>470628.63</v>
      </c>
      <c r="C209" s="53">
        <f>Sheet1!D255</f>
        <v>590354.98</v>
      </c>
      <c r="D209" s="53">
        <f>Sheet1!E255</f>
        <v>540694.02</v>
      </c>
      <c r="E209" s="53">
        <f>Sheet1!F255</f>
        <v>377913.35</v>
      </c>
      <c r="F209" s="53">
        <f>Sheet1!G255</f>
        <v>1979590.98</v>
      </c>
    </row>
    <row r="210" spans="1:6" ht="12.75">
      <c r="A210" s="23" t="str">
        <f>Sheet1!B256</f>
        <v>   02/17</v>
      </c>
      <c r="B210" s="53">
        <f>Sheet1!C256</f>
        <v>486587.56</v>
      </c>
      <c r="C210" s="53">
        <f>Sheet1!D256</f>
        <v>594248.67</v>
      </c>
      <c r="D210" s="53">
        <f>Sheet1!E256</f>
        <v>560724.97</v>
      </c>
      <c r="E210" s="53">
        <f>Sheet1!F256</f>
        <v>380218.21</v>
      </c>
      <c r="F210" s="53">
        <f>Sheet1!G256</f>
        <v>2021779.41</v>
      </c>
    </row>
    <row r="211" spans="1:6" ht="12.75">
      <c r="A211" s="23" t="str">
        <f>Sheet1!B257</f>
        <v>   03/17</v>
      </c>
      <c r="B211" s="53">
        <f>Sheet1!C257</f>
        <v>489914.1</v>
      </c>
      <c r="C211" s="53">
        <f>Sheet1!D257</f>
        <v>590137.31</v>
      </c>
      <c r="D211" s="53">
        <f>Sheet1!E257</f>
        <v>557252.57</v>
      </c>
      <c r="E211" s="53">
        <f>Sheet1!F257</f>
        <v>380003.09</v>
      </c>
      <c r="F211" s="53">
        <f>Sheet1!G257</f>
        <v>2017307.07</v>
      </c>
    </row>
    <row r="212" spans="1:6" ht="12.75">
      <c r="A212" s="23" t="str">
        <f>Sheet1!B258</f>
        <v>   04/17</v>
      </c>
      <c r="B212" s="53">
        <f>Sheet1!C258</f>
        <v>500333.43</v>
      </c>
      <c r="C212" s="53">
        <f>Sheet1!D258</f>
        <v>597630.37</v>
      </c>
      <c r="D212" s="53">
        <f>Sheet1!E258</f>
        <v>555696.29</v>
      </c>
      <c r="E212" s="53">
        <f>Sheet1!F258</f>
        <v>382185.92</v>
      </c>
      <c r="F212" s="53">
        <f>Sheet1!G258</f>
        <v>2035846.01</v>
      </c>
    </row>
    <row r="213" spans="1:6" ht="12.75">
      <c r="A213" s="23" t="str">
        <f>Sheet1!B261</f>
        <v>   05/17</v>
      </c>
      <c r="B213" s="53">
        <f>Sheet1!C261</f>
        <v>481652.32</v>
      </c>
      <c r="C213" s="53">
        <f>Sheet1!D261</f>
        <v>558175.35</v>
      </c>
      <c r="D213" s="53">
        <f>Sheet1!E261</f>
        <v>518239.76</v>
      </c>
      <c r="E213" s="53">
        <f>Sheet1!F261</f>
        <v>365064.83</v>
      </c>
      <c r="F213" s="53">
        <f>Sheet1!G261</f>
        <v>1923132.26</v>
      </c>
    </row>
    <row r="214" spans="1:6" ht="12.75">
      <c r="A214" s="23" t="str">
        <f>Sheet1!B262</f>
        <v>   06/17</v>
      </c>
      <c r="B214" s="53">
        <f>Sheet1!C262</f>
        <v>482611.14</v>
      </c>
      <c r="C214" s="53">
        <f>Sheet1!D262</f>
        <v>573165.03</v>
      </c>
      <c r="D214" s="53">
        <f>Sheet1!E262</f>
        <v>533687.38</v>
      </c>
      <c r="E214" s="53">
        <f>Sheet1!F262</f>
        <v>364817.8</v>
      </c>
      <c r="F214" s="53">
        <f>Sheet1!G262</f>
        <v>1954281.3499999999</v>
      </c>
    </row>
    <row r="215" spans="1:6" ht="12.75">
      <c r="A215" s="23" t="str">
        <f>Sheet1!B263</f>
        <v>   07/17</v>
      </c>
      <c r="B215" s="53">
        <f>Sheet1!C263</f>
        <v>498314.7</v>
      </c>
      <c r="C215" s="53">
        <f>Sheet1!D263</f>
        <v>573446.27</v>
      </c>
      <c r="D215" s="53">
        <f>Sheet1!E263</f>
        <v>543593.37</v>
      </c>
      <c r="E215" s="53">
        <f>Sheet1!F263</f>
        <v>366690.99</v>
      </c>
      <c r="F215" s="53">
        <f>Sheet1!G263</f>
        <v>1982045.3299999998</v>
      </c>
    </row>
    <row r="216" spans="1:6" ht="12.75">
      <c r="A216" s="23" t="str">
        <f>Sheet1!B264</f>
        <v>   08/17</v>
      </c>
      <c r="B216" s="53">
        <f>Sheet1!C264</f>
        <v>507647.12</v>
      </c>
      <c r="C216" s="53">
        <f>Sheet1!D264</f>
        <v>555829.36</v>
      </c>
      <c r="D216" s="53">
        <f>Sheet1!E264</f>
        <v>539676.47</v>
      </c>
      <c r="E216" s="53">
        <f>Sheet1!F264</f>
        <v>369193.6</v>
      </c>
      <c r="F216" s="53">
        <f>Sheet1!G264</f>
        <v>1972346.5499999998</v>
      </c>
    </row>
    <row r="217" spans="1:6" ht="12.75">
      <c r="A217" s="23" t="str">
        <f>Sheet1!B265</f>
        <v>   09/17</v>
      </c>
      <c r="B217" s="53">
        <f>Sheet1!C265</f>
        <v>510205.93</v>
      </c>
      <c r="C217" s="53">
        <f>Sheet1!D265</f>
        <v>593230.09</v>
      </c>
      <c r="D217" s="53">
        <f>Sheet1!E265</f>
        <v>549987.99</v>
      </c>
      <c r="E217" s="53">
        <f>Sheet1!F265</f>
        <v>368122.44</v>
      </c>
      <c r="F217" s="53">
        <f>Sheet1!G265</f>
        <v>2021546.45</v>
      </c>
    </row>
    <row r="218" spans="1:6" ht="12.75">
      <c r="A218" s="23" t="str">
        <f>Sheet1!B266</f>
        <v>   10/17</v>
      </c>
      <c r="B218" s="53">
        <f>Sheet1!C266</f>
        <v>531809.48</v>
      </c>
      <c r="C218" s="53">
        <f>Sheet1!D266</f>
        <v>602664.02</v>
      </c>
      <c r="D218" s="53">
        <f>Sheet1!E266</f>
        <v>553399.79</v>
      </c>
      <c r="E218" s="53">
        <f>Sheet1!F266</f>
        <v>368298.44</v>
      </c>
      <c r="F218" s="53">
        <f>Sheet1!G266</f>
        <v>2056171.73</v>
      </c>
    </row>
    <row r="219" spans="1:6" ht="12.75">
      <c r="A219" s="23" t="str">
        <f>Sheet1!B267</f>
        <v>   11/17</v>
      </c>
      <c r="B219" s="53">
        <f>Sheet1!C267</f>
        <v>550849.9</v>
      </c>
      <c r="C219" s="53">
        <f>Sheet1!D267</f>
        <v>627385.44</v>
      </c>
      <c r="D219" s="53">
        <f>Sheet1!E267</f>
        <v>565739.79</v>
      </c>
      <c r="E219" s="53">
        <f>Sheet1!F267</f>
        <v>367754.59</v>
      </c>
      <c r="F219" s="53">
        <f>Sheet1!G267</f>
        <v>2111729.7199999997</v>
      </c>
    </row>
    <row r="220" spans="1:6" ht="12.75">
      <c r="A220" s="23" t="str">
        <f>Sheet1!B268</f>
        <v>   12/17</v>
      </c>
      <c r="B220" s="53">
        <f>Sheet1!C268</f>
        <v>553437.21</v>
      </c>
      <c r="C220" s="53">
        <f>Sheet1!D268</f>
        <v>623752.49</v>
      </c>
      <c r="D220" s="53">
        <f>Sheet1!E268</f>
        <v>568728.5</v>
      </c>
      <c r="E220" s="53">
        <f>Sheet1!F268</f>
        <v>369650.48</v>
      </c>
      <c r="F220" s="53">
        <f>Sheet1!G268</f>
        <v>2115568.6799999997</v>
      </c>
    </row>
    <row r="221" spans="1:6" ht="12.75">
      <c r="A221" s="23" t="str">
        <f>Sheet1!B269</f>
        <v>   01/18</v>
      </c>
      <c r="B221" s="53">
        <f>Sheet1!C269</f>
        <v>580173.49</v>
      </c>
      <c r="C221" s="53">
        <f>Sheet1!D269</f>
        <v>635004.51</v>
      </c>
      <c r="D221" s="53">
        <f>Sheet1!E269</f>
        <v>594928.22</v>
      </c>
      <c r="E221" s="53">
        <f>Sheet1!F269</f>
        <v>369650.48</v>
      </c>
      <c r="F221" s="53">
        <f>Sheet1!G269</f>
        <v>2179756.7</v>
      </c>
    </row>
    <row r="222" spans="1:6" ht="12.75">
      <c r="A222" s="23" t="str">
        <f>Sheet1!B270</f>
        <v>   02/18</v>
      </c>
      <c r="B222" s="53">
        <f>Sheet1!C270</f>
        <v>565774.37</v>
      </c>
      <c r="C222" s="53">
        <f>Sheet1!D270</f>
        <v>611722.03</v>
      </c>
      <c r="D222" s="53">
        <f>Sheet1!E270</f>
        <v>567146.37</v>
      </c>
      <c r="E222" s="53">
        <f>Sheet1!F270</f>
        <v>363679.76</v>
      </c>
      <c r="F222" s="53">
        <f>Sheet1!G270</f>
        <v>2108322.5300000003</v>
      </c>
    </row>
    <row r="223" spans="1:6" ht="12.75">
      <c r="A223" s="23" t="str">
        <f>Sheet1!B271</f>
        <v>   03/18</v>
      </c>
      <c r="B223" s="53">
        <f>Sheet1!C271</f>
        <v>549421.1</v>
      </c>
      <c r="C223" s="53">
        <f>Sheet1!D271</f>
        <v>625014.83</v>
      </c>
      <c r="D223" s="53">
        <f>Sheet1!E271</f>
        <v>547701.94</v>
      </c>
      <c r="E223" s="53">
        <f>Sheet1!F271</f>
        <v>365496.17</v>
      </c>
      <c r="F223" s="53">
        <f>Sheet1!G271</f>
        <v>2087634.0399999998</v>
      </c>
    </row>
    <row r="224" spans="1:6" ht="12.75">
      <c r="A224" s="23" t="str">
        <f>Sheet1!B274</f>
        <v>   04/18</v>
      </c>
      <c r="B224" s="53">
        <f>Sheet1!C274</f>
        <v>812711.51</v>
      </c>
      <c r="C224" s="53">
        <f>Sheet1!D274</f>
        <v>0</v>
      </c>
      <c r="D224" s="53">
        <f>Sheet1!E274</f>
        <v>801519.41</v>
      </c>
      <c r="E224" s="53">
        <f>Sheet1!F274</f>
        <v>470004.86</v>
      </c>
      <c r="F224" s="53">
        <f>Sheet1!G274</f>
        <v>2084235.7799999998</v>
      </c>
    </row>
    <row r="225" spans="1:6" ht="12.75">
      <c r="A225" s="23" t="str">
        <f>Sheet1!B275</f>
        <v>   05/18</v>
      </c>
      <c r="B225" s="53">
        <f>Sheet1!C275</f>
        <v>845859.49</v>
      </c>
      <c r="C225" s="53">
        <f>Sheet1!D275</f>
        <v>0</v>
      </c>
      <c r="D225" s="53">
        <f>Sheet1!E275</f>
        <v>815212.97</v>
      </c>
      <c r="E225" s="53">
        <f>Sheet1!F275</f>
        <v>471633.59</v>
      </c>
      <c r="F225" s="53">
        <f>Sheet1!G275</f>
        <v>2132706.05</v>
      </c>
    </row>
    <row r="226" spans="1:6" ht="12.75">
      <c r="A226" s="23" t="str">
        <f>Sheet1!B276</f>
        <v>   06/18</v>
      </c>
      <c r="B226" s="53">
        <f>Sheet1!C276</f>
        <v>854021.16</v>
      </c>
      <c r="C226" s="53">
        <f>Sheet1!D276</f>
        <v>0</v>
      </c>
      <c r="D226" s="53">
        <f>Sheet1!E276</f>
        <v>814294.93</v>
      </c>
      <c r="E226" s="53">
        <f>Sheet1!F276</f>
        <v>471364.91</v>
      </c>
      <c r="F226" s="53">
        <f>Sheet1!G276</f>
        <v>2139681</v>
      </c>
    </row>
    <row r="227" spans="1:6" ht="12.75">
      <c r="A227" s="23" t="str">
        <f>Sheet1!B277</f>
        <v>   07/18</v>
      </c>
      <c r="B227" s="53">
        <f>Sheet1!C277</f>
        <v>857723.39</v>
      </c>
      <c r="C227" s="53">
        <f>Sheet1!D277</f>
        <v>0</v>
      </c>
      <c r="D227" s="53">
        <f>Sheet1!E277</f>
        <v>847785.19</v>
      </c>
      <c r="E227" s="53">
        <f>Sheet1!F277</f>
        <v>471959.92</v>
      </c>
      <c r="F227" s="53">
        <f>Sheet1!G277</f>
        <v>2177468.5</v>
      </c>
    </row>
    <row r="228" spans="1:6" ht="12.75">
      <c r="A228" s="23" t="str">
        <f>Sheet1!B278</f>
        <v>   08/18</v>
      </c>
      <c r="B228" s="53">
        <f>Sheet1!C278</f>
        <v>893317.07</v>
      </c>
      <c r="C228" s="53">
        <f>Sheet1!D278</f>
        <v>0</v>
      </c>
      <c r="D228" s="53">
        <f>Sheet1!E278</f>
        <v>854794.12</v>
      </c>
      <c r="E228" s="53">
        <f>Sheet1!F278</f>
        <v>473165.74</v>
      </c>
      <c r="F228" s="53">
        <f>Sheet1!G278</f>
        <v>2221276.9299999997</v>
      </c>
    </row>
    <row r="229" spans="1:6" ht="12.75">
      <c r="A229" s="23" t="str">
        <f>Sheet1!B279</f>
        <v>   09/18</v>
      </c>
      <c r="B229" s="53">
        <f>Sheet1!C279</f>
        <v>893861.5</v>
      </c>
      <c r="C229" s="53">
        <f>Sheet1!D279</f>
        <v>0</v>
      </c>
      <c r="D229" s="53">
        <f>Sheet1!E279</f>
        <v>852201.22</v>
      </c>
      <c r="E229" s="53">
        <f>Sheet1!F279</f>
        <v>472242.25</v>
      </c>
      <c r="F229" s="53">
        <f>Sheet1!G279</f>
        <v>2218304.9699999997</v>
      </c>
    </row>
    <row r="230" spans="1:6" ht="12.75">
      <c r="A230" s="23" t="str">
        <f>Sheet1!B281</f>
        <v>   10/18</v>
      </c>
      <c r="B230" s="53">
        <f>Sheet1!C281</f>
        <v>773543.69</v>
      </c>
      <c r="C230" s="53">
        <f>Sheet1!D281</f>
        <v>0</v>
      </c>
      <c r="D230" s="53">
        <f>Sheet1!E281</f>
        <v>757276.21</v>
      </c>
      <c r="E230" s="53">
        <f>Sheet1!F281</f>
        <v>443774.37</v>
      </c>
      <c r="F230" s="53">
        <f>Sheet1!G281</f>
        <v>1974594.27</v>
      </c>
    </row>
    <row r="231" spans="1:6" ht="12.75">
      <c r="A231" s="23" t="str">
        <f>Sheet1!B282</f>
        <v>   11/18</v>
      </c>
      <c r="B231" s="53">
        <f>Sheet1!C282</f>
        <v>765214.11</v>
      </c>
      <c r="C231" s="53">
        <f>Sheet1!D282</f>
        <v>0</v>
      </c>
      <c r="D231" s="53">
        <f>Sheet1!E282</f>
        <v>778800.73</v>
      </c>
      <c r="E231" s="53">
        <f>Sheet1!F282</f>
        <v>444866.37</v>
      </c>
      <c r="F231" s="53">
        <f>Sheet1!G282</f>
        <v>1988881.21</v>
      </c>
    </row>
    <row r="232" spans="1:6" ht="12.75">
      <c r="A232" s="23" t="str">
        <f>Sheet1!B283</f>
        <v>   12/18</v>
      </c>
      <c r="B232" s="53">
        <f>Sheet1!C283</f>
        <v>703400.95</v>
      </c>
      <c r="C232" s="53">
        <f>Sheet1!D283</f>
        <v>0</v>
      </c>
      <c r="D232" s="53">
        <f>Sheet1!E283</f>
        <v>698314.6</v>
      </c>
      <c r="E232" s="53">
        <f>Sheet1!F283</f>
        <v>448763.81</v>
      </c>
      <c r="F232" s="53">
        <f>Sheet1!G283</f>
        <v>1850479.3599999999</v>
      </c>
    </row>
    <row r="233" spans="1:6" ht="12.75">
      <c r="A233" s="23" t="str">
        <f>Sheet1!B284</f>
        <v>   01/19</v>
      </c>
      <c r="B233" s="53">
        <f>Sheet1!C284</f>
        <v>773267.04</v>
      </c>
      <c r="C233" s="53">
        <f>Sheet1!D284</f>
        <v>0</v>
      </c>
      <c r="D233" s="53">
        <f>Sheet1!E284</f>
        <v>749861.04</v>
      </c>
      <c r="E233" s="53">
        <f>Sheet1!F284</f>
        <v>448763.81</v>
      </c>
      <c r="F233" s="53">
        <f>Sheet1!G284</f>
        <v>1971891.8900000001</v>
      </c>
    </row>
    <row r="234" spans="1:6" ht="12.75">
      <c r="A234" s="23" t="str">
        <f>Sheet1!B285</f>
        <v>   02/19</v>
      </c>
      <c r="B234" s="53">
        <f>Sheet1!C285</f>
        <v>802269.92</v>
      </c>
      <c r="C234" s="53">
        <f>Sheet1!D285</f>
        <v>0</v>
      </c>
      <c r="D234" s="53">
        <f>Sheet1!E285</f>
        <v>762548.91</v>
      </c>
      <c r="E234" s="53">
        <f>Sheet1!F285</f>
        <v>453820.67</v>
      </c>
      <c r="F234" s="53">
        <f>Sheet1!G285</f>
        <v>2018639.5</v>
      </c>
    </row>
    <row r="235" spans="1:6" ht="12.75">
      <c r="A235" s="23" t="str">
        <f>Sheet1!B287</f>
        <v>   03/19</v>
      </c>
      <c r="B235" s="53">
        <f>Sheet1!C287</f>
        <v>701037.42</v>
      </c>
      <c r="C235" s="53">
        <f>Sheet1!D287</f>
        <v>351847.67</v>
      </c>
      <c r="D235" s="53">
        <f>Sheet1!E287</f>
        <v>652270.47</v>
      </c>
      <c r="E235" s="53">
        <f>Sheet1!F287</f>
        <v>358890.56</v>
      </c>
      <c r="F235" s="53">
        <f>Sheet1!G287</f>
        <v>2064046.12</v>
      </c>
    </row>
    <row r="236" spans="1:6" ht="12.75">
      <c r="A236" s="23" t="str">
        <f>Sheet1!B290</f>
        <v>   04/19-after</v>
      </c>
      <c r="B236" s="53">
        <f>Sheet1!C290</f>
        <v>693779.88</v>
      </c>
      <c r="C236" s="53">
        <f>Sheet1!D290</f>
        <v>347153.85</v>
      </c>
      <c r="D236" s="53">
        <f>Sheet1!E290</f>
        <v>638731.28</v>
      </c>
      <c r="E236" s="53">
        <f>Sheet1!F290</f>
        <v>341303.4</v>
      </c>
      <c r="F236" s="53">
        <f>Sheet1!G290</f>
        <v>2020968.4100000001</v>
      </c>
    </row>
    <row r="237" spans="1:6" ht="12.75">
      <c r="A237" s="23" t="str">
        <f>Sheet1!B291</f>
        <v>   05/19</v>
      </c>
      <c r="B237" s="53">
        <f>Sheet1!C291</f>
        <v>646471.16</v>
      </c>
      <c r="C237" s="53">
        <f>Sheet1!D291</f>
        <v>331017.28</v>
      </c>
      <c r="D237" s="53">
        <f>Sheet1!E291</f>
        <v>601826.77</v>
      </c>
      <c r="E237" s="53">
        <f>Sheet1!F291</f>
        <v>345169.31</v>
      </c>
      <c r="F237" s="53">
        <f>Sheet1!G291</f>
        <v>1924484.52</v>
      </c>
    </row>
    <row r="238" spans="1:6" ht="12.75">
      <c r="A238" s="23" t="str">
        <f>Sheet1!B292</f>
        <v>   06/19</v>
      </c>
      <c r="B238" s="53">
        <f>Sheet1!C292</f>
        <v>692079.47</v>
      </c>
      <c r="C238" s="53">
        <f>Sheet1!D292</f>
        <v>351942.14</v>
      </c>
      <c r="D238" s="53">
        <f>Sheet1!E292</f>
        <v>643628.56</v>
      </c>
      <c r="E238" s="53">
        <f>Sheet1!F292</f>
        <v>349449.24</v>
      </c>
      <c r="F238" s="53">
        <f>Sheet1!G292</f>
        <v>2037099.41</v>
      </c>
    </row>
    <row r="239" spans="1:6" ht="12.75">
      <c r="A239" s="23" t="str">
        <f>Sheet1!B293</f>
        <v>   07/19</v>
      </c>
      <c r="B239" s="53">
        <f>Sheet1!C293</f>
        <v>705835.81</v>
      </c>
      <c r="C239" s="53">
        <f>Sheet1!D293</f>
        <v>358360.15</v>
      </c>
      <c r="D239" s="53">
        <f>Sheet1!E293</f>
        <v>646018.86</v>
      </c>
      <c r="E239" s="53">
        <f>Sheet1!F293</f>
        <v>350004.28</v>
      </c>
      <c r="F239" s="53">
        <f>Sheet1!G293</f>
        <v>2060219.0999999999</v>
      </c>
    </row>
    <row r="240" spans="1:6" ht="12.75">
      <c r="A240" s="23" t="str">
        <f>Sheet1!B294</f>
        <v>   08/19</v>
      </c>
      <c r="B240" s="53">
        <f>Sheet1!C294</f>
        <v>699656.24</v>
      </c>
      <c r="C240" s="53">
        <f>Sheet1!D294</f>
        <v>357758.45</v>
      </c>
      <c r="D240" s="53">
        <f>Sheet1!E294</f>
        <v>656179.55</v>
      </c>
      <c r="E240" s="53">
        <f>Sheet1!F294</f>
        <v>356815.68</v>
      </c>
      <c r="F240" s="53">
        <f>Sheet1!G294</f>
        <v>2070409.92</v>
      </c>
    </row>
    <row r="241" spans="1:6" ht="12.75">
      <c r="A241" s="23" t="str">
        <f>Sheet1!B295</f>
        <v>   09/19</v>
      </c>
      <c r="B241" s="53">
        <f>Sheet1!C295</f>
        <v>698657.77</v>
      </c>
      <c r="C241" s="53">
        <f>Sheet1!D295</f>
        <v>356034.67</v>
      </c>
      <c r="D241" s="53">
        <f>Sheet1!E295</f>
        <v>659563.85</v>
      </c>
      <c r="E241" s="53">
        <f>Sheet1!F295</f>
        <v>355519.48</v>
      </c>
      <c r="F241" s="53">
        <f>Sheet1!G295</f>
        <v>2069775.77</v>
      </c>
    </row>
    <row r="242" spans="1:6" ht="12.75">
      <c r="A242" s="23" t="str">
        <f>Sheet1!B296</f>
        <v>   10/19</v>
      </c>
      <c r="B242" s="53">
        <f>Sheet1!C296</f>
        <v>724444.77</v>
      </c>
      <c r="C242" s="53">
        <f>Sheet1!D296</f>
        <v>362290.63</v>
      </c>
      <c r="D242" s="53">
        <f>Sheet1!E296</f>
        <v>654189.66</v>
      </c>
      <c r="E242" s="53">
        <f>Sheet1!F296</f>
        <v>356728.19</v>
      </c>
      <c r="F242" s="53">
        <f>Sheet1!G296</f>
        <v>2097653.25</v>
      </c>
    </row>
    <row r="243" spans="1:6" ht="12.75">
      <c r="A243" s="23" t="str">
        <f>Sheet1!B297</f>
        <v>   11/19</v>
      </c>
      <c r="B243" s="53">
        <f>Sheet1!C297</f>
        <v>753925.73</v>
      </c>
      <c r="C243" s="53">
        <f>Sheet1!D297</f>
        <v>371940.46</v>
      </c>
      <c r="D243" s="53">
        <f>Sheet1!E297</f>
        <v>680500.47</v>
      </c>
      <c r="E243" s="53">
        <f>Sheet1!F297</f>
        <v>356478.3</v>
      </c>
      <c r="F243" s="53">
        <f>Sheet1!G297</f>
        <v>2162844.96</v>
      </c>
    </row>
    <row r="244" spans="1:6" ht="12.75">
      <c r="A244" s="23" t="str">
        <f>Sheet1!B298</f>
        <v>   12/19</v>
      </c>
      <c r="B244" s="53">
        <f>Sheet1!C298</f>
        <v>771338.18</v>
      </c>
      <c r="C244" s="53">
        <f>Sheet1!D298</f>
        <v>378888.82</v>
      </c>
      <c r="D244" s="53">
        <f>Sheet1!E298</f>
        <v>682755.28</v>
      </c>
      <c r="E244" s="53">
        <f>Sheet1!F298</f>
        <v>357483.41</v>
      </c>
      <c r="F244" s="53">
        <f>Sheet1!G298</f>
        <v>2190465.69</v>
      </c>
    </row>
    <row r="245" spans="1:6" ht="12.75">
      <c r="A245" s="23" t="str">
        <f>Sheet1!B299</f>
        <v>   01/20</v>
      </c>
      <c r="B245" s="53">
        <f>Sheet1!C299</f>
        <v>783398.36</v>
      </c>
      <c r="C245" s="53">
        <f>Sheet1!D299</f>
        <v>383026.96</v>
      </c>
      <c r="D245" s="53">
        <f>Sheet1!E299</f>
        <v>677615.99</v>
      </c>
      <c r="E245" s="53">
        <f>Sheet1!F299</f>
        <v>357483.41</v>
      </c>
      <c r="F245" s="53">
        <f>Sheet1!G299</f>
        <v>2201524.72</v>
      </c>
    </row>
    <row r="246" spans="1:6" ht="12.75">
      <c r="A246" s="23" t="str">
        <f>Sheet1!B300</f>
        <v>   02/20</v>
      </c>
      <c r="B246" s="53">
        <f>Sheet1!C300</f>
        <v>733777.6</v>
      </c>
      <c r="C246" s="53">
        <f>Sheet1!D300</f>
        <v>351649.72</v>
      </c>
      <c r="D246" s="53">
        <f>Sheet1!E300</f>
        <v>613305.37</v>
      </c>
      <c r="E246" s="53">
        <f>Sheet1!F300</f>
        <v>365651.08</v>
      </c>
      <c r="F246" s="53">
        <f>Sheet1!G300</f>
        <v>2064383.77</v>
      </c>
    </row>
    <row r="247" spans="1:6" ht="12.75">
      <c r="A247" s="23" t="str">
        <f>Sheet1!B301</f>
        <v>   03/20</v>
      </c>
      <c r="B247" s="53">
        <f>Sheet1!C301</f>
        <v>630079.46</v>
      </c>
      <c r="C247" s="53">
        <f>Sheet1!D301</f>
        <v>291553.54</v>
      </c>
      <c r="D247" s="53">
        <f>Sheet1!E301</f>
        <v>543025.2</v>
      </c>
      <c r="E247" s="53">
        <f>Sheet1!F301</f>
        <v>355821.83</v>
      </c>
      <c r="F247" s="53">
        <f>Sheet1!G301</f>
        <v>1820480.03</v>
      </c>
    </row>
    <row r="248" spans="1:6" ht="12.75">
      <c r="A248" s="23" t="str">
        <f>Sheet1!B304</f>
        <v>   04/20 - After</v>
      </c>
      <c r="B248" s="53">
        <f>Sheet1!C304</f>
        <v>695066.39</v>
      </c>
      <c r="C248" s="53">
        <f>Sheet1!D304</f>
        <v>315108.84</v>
      </c>
      <c r="D248" s="53">
        <f>Sheet1!E304</f>
        <v>564656.08</v>
      </c>
      <c r="E248" s="53">
        <f>Sheet1!F304</f>
        <v>347272.64</v>
      </c>
      <c r="F248" s="53">
        <f>Sheet1!G304</f>
        <v>1922103.9500000002</v>
      </c>
    </row>
    <row r="249" spans="1:6" ht="12.75">
      <c r="A249" s="23" t="str">
        <f>Sheet1!B305</f>
        <v>   05/20</v>
      </c>
      <c r="B249" s="53">
        <f>Sheet1!C305</f>
        <v>763801.89</v>
      </c>
      <c r="C249" s="53">
        <f>Sheet1!D305</f>
        <v>328951.64</v>
      </c>
      <c r="D249" s="53">
        <f>Sheet1!E305</f>
        <v>583536.05</v>
      </c>
      <c r="E249" s="53">
        <f>Sheet1!F305</f>
        <v>351456.78</v>
      </c>
      <c r="F249" s="53">
        <f>Sheet1!G305</f>
        <v>2027746.36</v>
      </c>
    </row>
    <row r="250" spans="1:6" ht="12.75">
      <c r="A250" s="23" t="str">
        <f>Sheet1!B306</f>
        <v>   06/20</v>
      </c>
      <c r="B250" s="53">
        <f>Sheet1!C306</f>
        <v>817495.93</v>
      </c>
      <c r="C250" s="53">
        <f>Sheet1!D306</f>
        <v>338236.76</v>
      </c>
      <c r="D250" s="53">
        <f>Sheet1!E306</f>
        <v>592921.79</v>
      </c>
      <c r="E250" s="53">
        <f>Sheet1!F306</f>
        <v>354443.36</v>
      </c>
      <c r="F250" s="53">
        <f>Sheet1!G306</f>
        <v>2103097.84</v>
      </c>
    </row>
    <row r="251" spans="1:6" ht="12.75">
      <c r="A251" s="23" t="str">
        <f>Sheet1!B307</f>
        <v>   07/20</v>
      </c>
      <c r="B251" s="53">
        <f>Sheet1!C307</f>
        <v>870154.33</v>
      </c>
      <c r="C251" s="53">
        <f>Sheet1!D307</f>
        <v>354604.22</v>
      </c>
      <c r="D251" s="53">
        <f>Sheet1!E307</f>
        <v>623867.91</v>
      </c>
      <c r="E251" s="53">
        <f>Sheet1!F307</f>
        <v>360327.95</v>
      </c>
      <c r="F251" s="53">
        <f>Sheet1!G307</f>
        <v>2208954.41</v>
      </c>
    </row>
    <row r="252" spans="1:6" ht="12.75">
      <c r="A252" s="23" t="str">
        <f>Sheet1!B308</f>
        <v>   08/20</v>
      </c>
      <c r="B252" s="53">
        <f>Sheet1!C308</f>
        <v>968584.91</v>
      </c>
      <c r="C252" s="53">
        <f>Sheet1!D308</f>
        <v>384293.53</v>
      </c>
      <c r="D252" s="53">
        <f>Sheet1!E308</f>
        <v>650348.91</v>
      </c>
      <c r="E252" s="53">
        <f>Sheet1!F308</f>
        <v>357329.74</v>
      </c>
      <c r="F252" s="53">
        <f>Sheet1!G308</f>
        <v>2360557.09</v>
      </c>
    </row>
    <row r="253" spans="1:6" ht="12.75">
      <c r="A253" s="23" t="str">
        <f>Sheet1!B309</f>
        <v>   09/20</v>
      </c>
      <c r="B253" s="53">
        <f>Sheet1!C309</f>
        <v>910353.66</v>
      </c>
      <c r="C253" s="53">
        <f>Sheet1!D309</f>
        <v>370718.85</v>
      </c>
      <c r="D253" s="53">
        <f>Sheet1!E309</f>
        <v>638228.16</v>
      </c>
      <c r="E253" s="53">
        <f>Sheet1!F309</f>
        <v>356675.16</v>
      </c>
      <c r="F253" s="53">
        <f>Sheet1!G309</f>
        <v>2275975.83</v>
      </c>
    </row>
    <row r="254" spans="1:6" ht="12.75">
      <c r="A254" s="23" t="str">
        <f>Sheet1!B310</f>
        <v>   10/20</v>
      </c>
      <c r="B254" s="53">
        <f>Sheet1!C310</f>
        <v>901304.54</v>
      </c>
      <c r="C254" s="53">
        <f>Sheet1!D310</f>
        <v>364832.56</v>
      </c>
      <c r="D254" s="53">
        <f>Sheet1!E310</f>
        <v>627115.57</v>
      </c>
      <c r="E254" s="53">
        <f>Sheet1!F310</f>
        <v>355102.15</v>
      </c>
      <c r="F254" s="53">
        <f>Sheet1!G310</f>
        <v>2248354.82</v>
      </c>
    </row>
    <row r="255" spans="1:6" ht="12.75">
      <c r="A255" s="23" t="str">
        <f>Sheet1!B311</f>
        <v>   11/20</v>
      </c>
      <c r="B255" s="53">
        <f>Sheet1!C311</f>
        <v>983984.58</v>
      </c>
      <c r="C255" s="53">
        <f>Sheet1!D311</f>
        <v>403667.95</v>
      </c>
      <c r="D255" s="53">
        <f>Sheet1!E311</f>
        <v>699920.87</v>
      </c>
      <c r="E255" s="53">
        <f>Sheet1!F311</f>
        <v>360101.05</v>
      </c>
      <c r="F255" s="53">
        <f>Sheet1!G311</f>
        <v>2447674.4499999997</v>
      </c>
    </row>
    <row r="256" spans="1:6" ht="12.75">
      <c r="A256" s="23" t="str">
        <f>Sheet1!B312</f>
        <v>   12/20</v>
      </c>
      <c r="B256" s="53">
        <f>Sheet1!C312</f>
        <v>1024047.11</v>
      </c>
      <c r="C256" s="53">
        <f>Sheet1!D312</f>
        <v>413834.39</v>
      </c>
      <c r="D256" s="53">
        <f>Sheet1!E312</f>
        <v>737107.54</v>
      </c>
      <c r="E256" s="53">
        <f>Sheet1!F312</f>
        <v>360650.51</v>
      </c>
      <c r="F256" s="53">
        <f>Sheet1!G312</f>
        <v>2535639.55</v>
      </c>
    </row>
    <row r="257" spans="1:6" ht="12.75">
      <c r="A257" s="23" t="str">
        <f>Sheet1!B313</f>
        <v>   01/21</v>
      </c>
      <c r="B257" s="53">
        <f>Sheet1!C313</f>
        <v>1041574.1</v>
      </c>
      <c r="C257" s="53">
        <f>Sheet1!D313</f>
        <v>405088.45</v>
      </c>
      <c r="D257" s="53">
        <f>Sheet1!E313</f>
        <v>748502.3</v>
      </c>
      <c r="E257" s="53">
        <f>Sheet1!F313</f>
        <v>357827.74</v>
      </c>
      <c r="F257" s="53">
        <f>Sheet1!G313</f>
        <v>2552992.59</v>
      </c>
    </row>
    <row r="258" spans="1:6" ht="12.75">
      <c r="A258" s="23" t="str">
        <f>Sheet1!B314</f>
        <v>   02/21</v>
      </c>
      <c r="B258" s="53">
        <f>Sheet1!C314</f>
        <v>1089068.63</v>
      </c>
      <c r="C258" s="53">
        <f>Sheet1!D314</f>
        <v>410587.75</v>
      </c>
      <c r="D258" s="53">
        <f>Sheet1!E314</f>
        <v>783321.77</v>
      </c>
      <c r="E258" s="53">
        <f>Sheet1!F314</f>
        <v>352746.67</v>
      </c>
      <c r="F258" s="53">
        <f>Sheet1!G314</f>
        <v>2635724.82</v>
      </c>
    </row>
    <row r="259" spans="1:6" ht="12.75">
      <c r="A259" s="23" t="str">
        <f>Sheet1!B315</f>
        <v>   03/21</v>
      </c>
      <c r="B259" s="53">
        <f>Sheet1!C315</f>
        <v>1067267.13</v>
      </c>
      <c r="C259" s="53">
        <f>Sheet1!D315</f>
        <v>421331.86</v>
      </c>
      <c r="D259" s="53">
        <f>Sheet1!E315</f>
        <v>825882.78</v>
      </c>
      <c r="E259" s="53">
        <f>Sheet1!F315</f>
        <v>348754.24</v>
      </c>
      <c r="F259" s="53">
        <f>Sheet1!G315</f>
        <v>2663236.01</v>
      </c>
    </row>
    <row r="260" spans="1:6" ht="12.75">
      <c r="A260" s="23" t="str">
        <f>Sheet1!B317</f>
        <v>   04/21-aft trnsfr</v>
      </c>
      <c r="B260" s="53">
        <f>Sheet1!C317</f>
        <v>889139.6599999999</v>
      </c>
      <c r="C260" s="53">
        <f>Sheet1!D317</f>
        <v>574165.94</v>
      </c>
      <c r="D260" s="53">
        <f>Sheet1!E317</f>
        <v>861222.2</v>
      </c>
      <c r="E260" s="53">
        <f>Sheet1!F317</f>
        <v>452506.07</v>
      </c>
      <c r="F260" s="53">
        <f>Sheet1!G317</f>
        <v>2777033.8699999996</v>
      </c>
    </row>
    <row r="261" spans="1:6" ht="12.75">
      <c r="A261" s="23" t="str">
        <f>Sheet1!B318</f>
        <v>   05/21</v>
      </c>
      <c r="B261" s="53">
        <f>Sheet1!C318</f>
        <v>880819.54</v>
      </c>
      <c r="C261" s="53">
        <f>Sheet1!D318</f>
        <v>582123.32</v>
      </c>
      <c r="D261" s="53">
        <f>Sheet1!E318</f>
        <v>917015.86</v>
      </c>
      <c r="E261" s="53">
        <f>Sheet1!F318</f>
        <v>454148.14</v>
      </c>
      <c r="F261" s="53">
        <f>Sheet1!G318</f>
        <v>2834106.86</v>
      </c>
    </row>
    <row r="262" spans="1:6" ht="12.75">
      <c r="A262" s="23" t="str">
        <f>Sheet1!B319</f>
        <v>   06/21</v>
      </c>
      <c r="B262" s="53">
        <f>Sheet1!C319</f>
        <v>930086.93</v>
      </c>
      <c r="C262" s="53">
        <f>Sheet1!D319</f>
        <v>601332.81</v>
      </c>
      <c r="D262" s="53">
        <f>Sheet1!E319</f>
        <v>900474.99</v>
      </c>
      <c r="E262" s="53">
        <f>Sheet1!F319</f>
        <v>456420.55</v>
      </c>
      <c r="F262" s="53">
        <f>Sheet1!G319</f>
        <v>2888315.2800000003</v>
      </c>
    </row>
    <row r="263" spans="1:6" ht="12.75">
      <c r="A263" s="23" t="str">
        <f>Sheet1!B320</f>
        <v>   07/21</v>
      </c>
      <c r="B263" s="53">
        <f>Sheet1!C320</f>
        <v>917417.84</v>
      </c>
      <c r="C263" s="53">
        <f>Sheet1!D320</f>
        <v>615631.12</v>
      </c>
      <c r="D263" s="53">
        <f>Sheet1!E320</f>
        <v>877880.23</v>
      </c>
      <c r="E263" s="53">
        <f>Sheet1!F320</f>
        <v>461438.47</v>
      </c>
      <c r="F263" s="53">
        <f>Sheet1!G320</f>
        <v>2872367.66</v>
      </c>
    </row>
    <row r="264" spans="1:6" ht="12.75">
      <c r="A264" s="23" t="str">
        <f>Sheet1!B321</f>
        <v>   08/21</v>
      </c>
      <c r="B264" s="53">
        <f>Sheet1!C321</f>
        <v>925424.61</v>
      </c>
      <c r="C264" s="53">
        <f>Sheet1!D321</f>
        <v>626313.16</v>
      </c>
      <c r="D264" s="53">
        <f>Sheet1!E321</f>
        <v>890777.85</v>
      </c>
      <c r="E264" s="53">
        <f>Sheet1!F321</f>
        <v>464077.66</v>
      </c>
      <c r="F264" s="53">
        <f>Sheet1!G321</f>
        <v>2906593.2800000003</v>
      </c>
    </row>
    <row r="265" spans="1:6" ht="12.75">
      <c r="A265" s="23" t="str">
        <f>Sheet1!B322</f>
        <v>   09/21</v>
      </c>
      <c r="B265" s="53">
        <f>Sheet1!C322</f>
        <v>884863.23</v>
      </c>
      <c r="C265" s="53">
        <f>Sheet1!D322</f>
        <v>593993</v>
      </c>
      <c r="D265" s="53">
        <f>Sheet1!E322</f>
        <v>891537.08</v>
      </c>
      <c r="E265" s="53">
        <f>Sheet1!F322</f>
        <v>452850.88</v>
      </c>
      <c r="F265" s="53">
        <f>Sheet1!G322</f>
        <v>2823244.19</v>
      </c>
    </row>
    <row r="266" spans="1:6" ht="12.75">
      <c r="A266" s="23" t="str">
        <f>Sheet1!B323</f>
        <v>   10/21</v>
      </c>
      <c r="B266" s="53">
        <f>Sheet1!C323</f>
        <v>935178.01</v>
      </c>
      <c r="C266" s="53">
        <f>Sheet1!D323</f>
        <v>633122.1</v>
      </c>
      <c r="D266" s="53">
        <f>Sheet1!E323</f>
        <v>933236.24</v>
      </c>
      <c r="E266" s="53">
        <f>Sheet1!F323</f>
        <v>460089.87</v>
      </c>
      <c r="F266" s="53">
        <f>Sheet1!G323</f>
        <v>2961626.2199999997</v>
      </c>
    </row>
    <row r="267" spans="1:6" ht="12.75">
      <c r="A267" s="23" t="str">
        <f>Sheet1!B324</f>
        <v>   11/21</v>
      </c>
      <c r="B267" s="53">
        <f>Sheet1!C324</f>
        <v>909464.57</v>
      </c>
      <c r="C267" s="53">
        <f>Sheet1!D324</f>
        <v>617023.84</v>
      </c>
      <c r="D267" s="53">
        <f>Sheet1!E324</f>
        <v>897282.7</v>
      </c>
      <c r="E267" s="53">
        <f>Sheet1!F324</f>
        <v>460042.72</v>
      </c>
      <c r="F267" s="53">
        <f>Sheet1!G324</f>
        <v>2883813.83</v>
      </c>
    </row>
    <row r="268" spans="1:6" ht="12.75">
      <c r="A268" s="23" t="str">
        <f>Sheet1!B325</f>
        <v>   12/21</v>
      </c>
      <c r="B268" s="53">
        <f>Sheet1!C325</f>
        <v>924226.11</v>
      </c>
      <c r="C268" s="53">
        <f>Sheet1!D325</f>
        <v>624029</v>
      </c>
      <c r="D268" s="53">
        <f>Sheet1!E325</f>
        <v>964330.31</v>
      </c>
      <c r="E268" s="53">
        <f>Sheet1!F325</f>
        <v>459757.01</v>
      </c>
      <c r="F268" s="53">
        <f>Sheet1!G325</f>
        <v>2972342.4299999997</v>
      </c>
    </row>
    <row r="269" spans="1:6" ht="12.75">
      <c r="A269" s="23" t="str">
        <f>Sheet1!B326</f>
        <v>   01/22</v>
      </c>
      <c r="B269" s="53">
        <f>Sheet1!C326</f>
        <v>842907.39</v>
      </c>
      <c r="C269" s="53">
        <f>Sheet1!D326</f>
        <v>575774.48</v>
      </c>
      <c r="D269" s="53">
        <f>Sheet1!E326</f>
        <v>929799.33</v>
      </c>
      <c r="E269" s="53">
        <f>Sheet1!F326</f>
        <v>451110.67</v>
      </c>
      <c r="F269" s="53">
        <f>Sheet1!G326</f>
        <v>2799591.87</v>
      </c>
    </row>
    <row r="270" spans="1:6" ht="12.75">
      <c r="A270" s="23" t="str">
        <f>Sheet1!B327</f>
        <v>   02/22</v>
      </c>
      <c r="B270" s="53">
        <f>Sheet1!C327</f>
        <v>790767.05</v>
      </c>
      <c r="C270" s="53">
        <f>Sheet1!D327</f>
        <v>551067.91</v>
      </c>
      <c r="D270" s="53">
        <f>Sheet1!E327</f>
        <v>925315.6</v>
      </c>
      <c r="E270" s="53">
        <f>Sheet1!F327</f>
        <v>446916.66</v>
      </c>
      <c r="F270" s="53">
        <f>Sheet1!G327</f>
        <v>2714067.22</v>
      </c>
    </row>
    <row r="271" spans="1:6" ht="12.75">
      <c r="A271" s="23" t="str">
        <f>Sheet1!B328</f>
        <v>   03/22</v>
      </c>
      <c r="B271" s="53">
        <f>Sheet1!C328</f>
        <v>827762.21</v>
      </c>
      <c r="C271" s="53">
        <f>Sheet1!D328</f>
        <v>565298.33</v>
      </c>
      <c r="D271" s="53">
        <f>Sheet1!E328</f>
        <v>950825.34</v>
      </c>
      <c r="E271" s="53">
        <f>Sheet1!F328</f>
        <v>437880.78</v>
      </c>
      <c r="F271" s="53">
        <f>Sheet1!G328</f>
        <v>2781766.66</v>
      </c>
    </row>
    <row r="272" spans="1:6" ht="12.75">
      <c r="A272" s="23" t="str">
        <f>Sheet1!B329</f>
        <v>   04/22</v>
      </c>
      <c r="B272" s="53">
        <f>Sheet1!C329</f>
        <v>724609.17</v>
      </c>
      <c r="C272" s="53">
        <f>Sheet1!D329</f>
        <v>519097.3</v>
      </c>
      <c r="D272" s="53">
        <f>Sheet1!E329</f>
        <v>882681.49</v>
      </c>
      <c r="E272" s="53">
        <f>Sheet1!F329</f>
        <v>424022.1</v>
      </c>
      <c r="F272" s="53">
        <f>Sheet1!G329</f>
        <v>2550410.06</v>
      </c>
    </row>
    <row r="273" spans="1:6" ht="12.75">
      <c r="A273" s="23" t="str">
        <f>Sheet1!B331</f>
        <v>   04/22- After</v>
      </c>
      <c r="B273" s="53">
        <f>Sheet1!C331</f>
        <v>683209.17</v>
      </c>
      <c r="C273" s="53">
        <f>Sheet1!D331</f>
        <v>490797.3</v>
      </c>
      <c r="D273" s="53">
        <f>Sheet1!E331</f>
        <v>835781.49</v>
      </c>
      <c r="E273" s="53">
        <f>Sheet1!F331</f>
        <v>402122.1</v>
      </c>
      <c r="F273" s="53">
        <f>Sheet1!G331</f>
        <v>2411910.06</v>
      </c>
    </row>
    <row r="274" spans="1:6" ht="12.75">
      <c r="A274" s="23" t="str">
        <f>Sheet1!B332</f>
        <v>   05/22</v>
      </c>
      <c r="B274" s="53">
        <f>Sheet1!C332</f>
        <v>671629.38</v>
      </c>
      <c r="C274" s="53">
        <f>Sheet1!D332</f>
        <v>486229.88</v>
      </c>
      <c r="D274" s="53">
        <f>Sheet1!E332</f>
        <v>858516.47</v>
      </c>
      <c r="E274" s="53">
        <f>Sheet1!F332</f>
        <v>404438.2</v>
      </c>
      <c r="F274" s="53">
        <f>Sheet1!G332</f>
        <v>2420813.93</v>
      </c>
    </row>
    <row r="275" spans="1:6" ht="12.75">
      <c r="A275" s="23" t="str">
        <f>Sheet1!B333</f>
        <v>   06/22</v>
      </c>
      <c r="B275" s="53">
        <f>Sheet1!C333</f>
        <v>656733.86</v>
      </c>
      <c r="C275" s="53">
        <f>Sheet1!D333</f>
        <v>452640.13</v>
      </c>
      <c r="D275" s="53">
        <f>Sheet1!E333</f>
        <v>755144.24</v>
      </c>
      <c r="E275" s="53">
        <f>Sheet1!F333</f>
        <v>396548.58</v>
      </c>
      <c r="F275" s="53">
        <f>Sheet1!G333</f>
        <v>2261066.81</v>
      </c>
    </row>
    <row r="276" spans="1:6" ht="12.75">
      <c r="A276" s="23" t="str">
        <f>Sheet1!B334</f>
        <v>   07/22</v>
      </c>
      <c r="B276" s="53">
        <f>Sheet1!C334</f>
        <v>705317.12</v>
      </c>
      <c r="C276" s="53">
        <f>Sheet1!D334</f>
        <v>496510.2</v>
      </c>
      <c r="D276" s="53">
        <f>Sheet1!E334</f>
        <v>819893.66</v>
      </c>
      <c r="E276" s="53">
        <f>Sheet1!F334</f>
        <v>406386.28</v>
      </c>
      <c r="F276" s="53">
        <f>Sheet1!G334</f>
        <v>2428107.26</v>
      </c>
    </row>
    <row r="277" spans="1:6" ht="12.75">
      <c r="A277" s="23" t="str">
        <f>Sheet1!B335</f>
        <v>   08/22</v>
      </c>
      <c r="B277" s="53">
        <f>Sheet1!C335</f>
        <v>680420.99</v>
      </c>
      <c r="C277" s="53">
        <f>Sheet1!D335</f>
        <v>477713.73</v>
      </c>
      <c r="D277" s="53">
        <f>Sheet1!E335</f>
        <v>801654.39</v>
      </c>
      <c r="E277" s="53">
        <f>Sheet1!F335</f>
        <v>395322.25</v>
      </c>
      <c r="F277" s="53">
        <f>Sheet1!G335</f>
        <v>2355111.36</v>
      </c>
    </row>
    <row r="278" spans="1:6" ht="12.75">
      <c r="A278" s="23" t="str">
        <f>Sheet1!B336</f>
        <v>   09/22</v>
      </c>
      <c r="B278" s="53">
        <f>Sheet1!C336</f>
        <v>625203.61</v>
      </c>
      <c r="C278" s="53">
        <f>Sheet1!D336</f>
        <v>436513.43</v>
      </c>
      <c r="D278" s="53">
        <f>Sheet1!E336</f>
        <v>711750.42</v>
      </c>
      <c r="E278" s="53">
        <f>Sheet1!F336</f>
        <v>377710.66</v>
      </c>
      <c r="F278" s="53">
        <f>Sheet1!G336</f>
        <v>2151178.12</v>
      </c>
    </row>
    <row r="279" spans="1:6" ht="12.75">
      <c r="A279" s="23" t="str">
        <f>Sheet1!B337</f>
        <v>   10/22</v>
      </c>
      <c r="B279" s="53">
        <f>Sheet1!C337</f>
        <v>633798.48</v>
      </c>
      <c r="C279" s="53">
        <f>Sheet1!D337</f>
        <v>468048</v>
      </c>
      <c r="D279" s="53">
        <f>Sheet1!E337</f>
        <v>786528.68</v>
      </c>
      <c r="E279" s="53">
        <f>Sheet1!F337</f>
        <v>376407.33</v>
      </c>
      <c r="F279" s="53">
        <f>Sheet1!G337</f>
        <v>2264782.49</v>
      </c>
    </row>
    <row r="280" spans="1:6" ht="12.75">
      <c r="A280" s="110" t="s">
        <v>155</v>
      </c>
      <c r="B280" s="53" t="s">
        <v>155</v>
      </c>
      <c r="C280" s="53" t="s">
        <v>350</v>
      </c>
      <c r="D280" s="53" t="s">
        <v>155</v>
      </c>
      <c r="E280" s="53" t="s">
        <v>155</v>
      </c>
      <c r="F280" s="53" t="s">
        <v>155</v>
      </c>
    </row>
    <row r="281" spans="1:6" ht="12.75">
      <c r="A281" s="110" t="s">
        <v>155</v>
      </c>
      <c r="B281" s="53" t="str">
        <f>Sheet1!C339</f>
        <v>Growth</v>
      </c>
      <c r="C281" s="53" t="str">
        <f>Sheet1!D339</f>
        <v>Small Cap/ESG</v>
      </c>
      <c r="D281" s="53" t="str">
        <f>Sheet1!E339</f>
        <v>Value</v>
      </c>
      <c r="E281" s="53" t="str">
        <f>Sheet1!F339</f>
        <v>Fixed</v>
      </c>
      <c r="F281" s="53" t="s">
        <v>155</v>
      </c>
    </row>
    <row r="282" spans="1:6" ht="12.75">
      <c r="A282" s="23"/>
      <c r="B282" s="53"/>
      <c r="C282" s="53"/>
      <c r="D282" s="53"/>
      <c r="E282" s="53"/>
      <c r="F282" s="53"/>
    </row>
    <row r="283" spans="1:6" ht="12.75">
      <c r="A283" s="23"/>
      <c r="B283" s="53"/>
      <c r="C283" s="53"/>
      <c r="D283" s="53"/>
      <c r="E283" s="53"/>
      <c r="F283" s="53"/>
    </row>
    <row r="284" spans="1:6" ht="12.75">
      <c r="A284" s="23"/>
      <c r="B284" s="53"/>
      <c r="C284" s="53"/>
      <c r="D284" s="53"/>
      <c r="E284" s="53"/>
      <c r="F284" s="53"/>
    </row>
    <row r="285" spans="1:6" ht="12.75">
      <c r="A285" s="23"/>
      <c r="B285" s="53"/>
      <c r="C285" s="53"/>
      <c r="D285" s="53"/>
      <c r="E285" s="53"/>
      <c r="F285" s="53"/>
    </row>
    <row r="286" spans="1:6" ht="12.75">
      <c r="A286" s="23"/>
      <c r="B286" s="53"/>
      <c r="C286" s="53"/>
      <c r="D286" s="53"/>
      <c r="E286" s="53"/>
      <c r="F286" s="53"/>
    </row>
    <row r="287" spans="1:6" ht="12.75">
      <c r="A287" s="23"/>
      <c r="B287" s="53"/>
      <c r="C287" s="53"/>
      <c r="D287" s="53"/>
      <c r="E287" s="53"/>
      <c r="F287" s="53"/>
    </row>
    <row r="288" spans="1:6" ht="12.75">
      <c r="A288" s="23"/>
      <c r="B288" s="53"/>
      <c r="C288" s="53"/>
      <c r="D288" s="53"/>
      <c r="E288" s="53"/>
      <c r="F288" s="53"/>
    </row>
    <row r="289" spans="1:6" ht="12.75">
      <c r="A289" s="23"/>
      <c r="B289" s="53"/>
      <c r="C289" s="53"/>
      <c r="D289" s="53"/>
      <c r="E289" s="53"/>
      <c r="F289" s="53"/>
    </row>
    <row r="290" spans="1:6" ht="12.75">
      <c r="A290" s="23"/>
      <c r="B290" s="53"/>
      <c r="C290" s="53"/>
      <c r="D290" s="53"/>
      <c r="E290" s="53"/>
      <c r="F290" s="53"/>
    </row>
    <row r="291" spans="1:6" ht="12.75">
      <c r="A291" s="110" t="s">
        <v>155</v>
      </c>
      <c r="B291" s="53"/>
      <c r="C291" s="53"/>
      <c r="D291" s="53"/>
      <c r="E291" s="53"/>
      <c r="F291" s="53"/>
    </row>
    <row r="292" spans="1:6" ht="12.75">
      <c r="A292" s="23"/>
      <c r="B292" s="53"/>
      <c r="C292" s="53"/>
      <c r="D292" s="53"/>
      <c r="E292" s="53"/>
      <c r="F292" s="53"/>
    </row>
    <row r="293" spans="1:6" ht="12.75">
      <c r="A293" s="23"/>
      <c r="B293" s="53"/>
      <c r="C293" s="53"/>
      <c r="D293" s="53"/>
      <c r="E293" s="53"/>
      <c r="F293" s="53"/>
    </row>
    <row r="294" spans="1:6" ht="12.75">
      <c r="A294" s="23" t="s">
        <v>4</v>
      </c>
      <c r="B294" s="8" t="s">
        <v>66</v>
      </c>
      <c r="C294" s="8" t="s">
        <v>1</v>
      </c>
      <c r="D294" s="8" t="s">
        <v>2</v>
      </c>
      <c r="E294" s="8" t="s">
        <v>54</v>
      </c>
      <c r="F294" s="9" t="s">
        <v>6</v>
      </c>
    </row>
    <row r="295" spans="1:6" ht="12.75">
      <c r="A295" s="23" t="s">
        <v>5</v>
      </c>
      <c r="B295" s="22"/>
      <c r="C295" s="8"/>
      <c r="D295" s="8"/>
      <c r="E295" s="22" t="s">
        <v>0</v>
      </c>
      <c r="F295" s="9"/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5"/>
  <sheetViews>
    <sheetView zoomScalePageLayoutView="0" workbookViewId="0" topLeftCell="A245">
      <selection activeCell="A275" sqref="A275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1.00390625" style="0" customWidth="1"/>
    <col min="4" max="4" width="10.421875" style="0" customWidth="1"/>
    <col min="5" max="5" width="10.140625" style="0" customWidth="1"/>
  </cols>
  <sheetData>
    <row r="1" spans="2:5" ht="12.75">
      <c r="B1" s="132" t="s">
        <v>223</v>
      </c>
      <c r="C1" s="132"/>
      <c r="D1" s="132"/>
      <c r="E1" s="132"/>
    </row>
    <row r="2" spans="1:5" ht="12.75">
      <c r="A2" s="54" t="s">
        <v>221</v>
      </c>
      <c r="B2" s="54" t="s">
        <v>66</v>
      </c>
      <c r="C2" s="54" t="s">
        <v>1</v>
      </c>
      <c r="D2" s="54" t="s">
        <v>2</v>
      </c>
      <c r="E2" s="54" t="s">
        <v>222</v>
      </c>
    </row>
    <row r="3" spans="1:5" ht="12.75">
      <c r="A3" s="93" t="str">
        <f>Sheet1!B9</f>
        <v>   03/01/2000</v>
      </c>
      <c r="B3" s="29">
        <f>Sheet1!L9</f>
        <v>1</v>
      </c>
      <c r="C3" s="29">
        <f>Sheet1!N9</f>
        <v>1</v>
      </c>
      <c r="D3" s="29">
        <f>Sheet1!P9</f>
        <v>1</v>
      </c>
      <c r="E3" s="29">
        <f>Sheet1!T9</f>
        <v>1</v>
      </c>
    </row>
    <row r="4" spans="1:5" ht="12.75">
      <c r="A4" s="93" t="str">
        <f>Sheet1!B10</f>
        <v>   03/00</v>
      </c>
      <c r="B4" s="29">
        <f>Sheet1!L10</f>
        <v>1.0075</v>
      </c>
      <c r="C4" s="29">
        <f>Sheet1!N10</f>
        <v>0.9913333333333333</v>
      </c>
      <c r="D4" s="29">
        <f>Sheet1!P10</f>
        <v>1.021</v>
      </c>
      <c r="E4" s="29">
        <f>Sheet1!T10</f>
        <v>1.0066111111111111</v>
      </c>
    </row>
    <row r="5" spans="1:5" ht="12.75">
      <c r="A5" s="93" t="str">
        <f>Sheet1!B11</f>
        <v>   04/00</v>
      </c>
      <c r="B5" s="29">
        <f>Sheet1!L11</f>
        <v>0.9868333333333333</v>
      </c>
      <c r="C5" s="29">
        <f>Sheet1!N11</f>
        <v>0.9643333333333334</v>
      </c>
      <c r="D5" s="29">
        <f>Sheet1!P11</f>
        <v>1.0271666666666668</v>
      </c>
      <c r="E5" s="29">
        <f>Sheet1!T11</f>
        <v>0.9927777777777778</v>
      </c>
    </row>
    <row r="6" spans="1:5" ht="12.75">
      <c r="A6" s="93" t="str">
        <f>Sheet1!B12</f>
        <v>   05/00</v>
      </c>
      <c r="B6" s="29">
        <f>Sheet1!L12</f>
        <v>0.9401666666666667</v>
      </c>
      <c r="C6" s="29">
        <f>Sheet1!N12</f>
        <v>0.9303333333333333</v>
      </c>
      <c r="D6" s="29">
        <f>Sheet1!P12</f>
        <v>1.0550000000000002</v>
      </c>
      <c r="E6" s="29">
        <f>Sheet1!T12</f>
        <v>0.9751666666666666</v>
      </c>
    </row>
    <row r="7" spans="1:5" ht="12.75">
      <c r="A7" s="93" t="str">
        <f>Sheet1!B13</f>
        <v>   06/00</v>
      </c>
      <c r="B7" s="29">
        <f>Sheet1!L13</f>
        <v>0.9608333333333333</v>
      </c>
      <c r="C7" s="29">
        <f>Sheet1!N13</f>
        <v>0.9550000000000001</v>
      </c>
      <c r="D7" s="29">
        <f>Sheet1!P13</f>
        <v>1.033666666666667</v>
      </c>
      <c r="E7" s="29">
        <f>Sheet1!T13</f>
        <v>0.9831666666666665</v>
      </c>
    </row>
    <row r="8" spans="1:5" ht="12.75">
      <c r="A8" s="93" t="str">
        <f>Sheet1!B14</f>
        <v>   07/00</v>
      </c>
      <c r="B8" s="29">
        <f>Sheet1!L14</f>
        <v>0.9629999999999999</v>
      </c>
      <c r="C8" s="29">
        <f>Sheet1!N14</f>
        <v>0.9730000000000002</v>
      </c>
      <c r="D8" s="29">
        <f>Sheet1!P14</f>
        <v>1.0560000000000003</v>
      </c>
      <c r="E8" s="29">
        <f>Sheet1!T14</f>
        <v>0.9973333333333332</v>
      </c>
    </row>
    <row r="9" spans="1:5" ht="12.75">
      <c r="A9" s="93" t="str">
        <f>Sheet1!B15</f>
        <v>   08/00</v>
      </c>
      <c r="B9" s="29">
        <f>Sheet1!L15</f>
        <v>1.0003333333333333</v>
      </c>
      <c r="C9" s="29">
        <f>Sheet1!N15</f>
        <v>1.061666666666667</v>
      </c>
      <c r="D9" s="29">
        <f>Sheet1!P15</f>
        <v>1.102</v>
      </c>
      <c r="E9" s="29">
        <f>Sheet1!T15</f>
        <v>1.0546666666666664</v>
      </c>
    </row>
    <row r="10" spans="1:5" ht="12.75">
      <c r="A10" s="93" t="str">
        <f>Sheet1!B16</f>
        <v>   09/00</v>
      </c>
      <c r="B10" s="29">
        <f>Sheet1!L16</f>
        <v>0.9936666666666666</v>
      </c>
      <c r="C10" s="29">
        <f>Sheet1!N16</f>
        <v>1.0760000000000005</v>
      </c>
      <c r="D10" s="29">
        <f>Sheet1!P16</f>
        <v>1.1115000000000002</v>
      </c>
      <c r="E10" s="29">
        <f>Sheet1!T16</f>
        <v>1.0603888888888886</v>
      </c>
    </row>
    <row r="11" spans="1:5" ht="12.75">
      <c r="A11" s="93" t="str">
        <f>Sheet1!B17</f>
        <v>   10/00</v>
      </c>
      <c r="B11" s="29">
        <f>Sheet1!L17</f>
        <v>0.9796666666666666</v>
      </c>
      <c r="C11" s="29">
        <f>Sheet1!N17</f>
        <v>1.1181666666666672</v>
      </c>
      <c r="D11" s="29">
        <f>Sheet1!P17</f>
        <v>1.1275000000000002</v>
      </c>
      <c r="E11" s="29">
        <f>Sheet1!T17</f>
        <v>1.0751111111111107</v>
      </c>
    </row>
    <row r="12" spans="1:5" ht="12.75">
      <c r="A12" s="93" t="str">
        <f>Sheet1!B18</f>
        <v>   11/00</v>
      </c>
      <c r="B12" s="29">
        <f>Sheet1!L18</f>
        <v>0.9225</v>
      </c>
      <c r="C12" s="29">
        <f>Sheet1!N18</f>
        <v>1.052833333333334</v>
      </c>
      <c r="D12" s="29">
        <f>Sheet1!P18</f>
        <v>1.1056666666666668</v>
      </c>
      <c r="E12" s="29">
        <f>Sheet1!T18</f>
        <v>1.0269999999999997</v>
      </c>
    </row>
    <row r="13" spans="1:5" ht="12.75">
      <c r="A13" s="93" t="str">
        <f>Sheet1!B19</f>
        <v>   12/00</v>
      </c>
      <c r="B13" s="29">
        <f>Sheet1!L19</f>
        <v>0.9521666666666666</v>
      </c>
      <c r="C13" s="29">
        <f>Sheet1!N19</f>
        <v>1.0730000000000006</v>
      </c>
      <c r="D13" s="29">
        <f>Sheet1!P19</f>
        <v>1.1605</v>
      </c>
      <c r="E13" s="29">
        <f>Sheet1!T19</f>
        <v>1.0618888888888884</v>
      </c>
    </row>
    <row r="14" spans="1:5" ht="12.75">
      <c r="A14" s="93" t="str">
        <f>Sheet1!B20</f>
        <v>   01/2001</v>
      </c>
      <c r="B14" s="29">
        <f>Sheet1!L20</f>
        <v>0.9683333333333334</v>
      </c>
      <c r="C14" s="29">
        <f>Sheet1!N20</f>
        <v>1.121833333333334</v>
      </c>
      <c r="D14" s="29">
        <f>Sheet1!P20</f>
        <v>1.223666666666667</v>
      </c>
      <c r="E14" s="29">
        <f>Sheet1!T20</f>
        <v>1.1046111111111105</v>
      </c>
    </row>
    <row r="15" spans="1:5" ht="12.75">
      <c r="A15" s="93" t="str">
        <f>Sheet1!B21</f>
        <v>   02/01</v>
      </c>
      <c r="B15" s="29">
        <f>Sheet1!L21</f>
        <v>0.9163333333333334</v>
      </c>
      <c r="C15" s="29">
        <f>Sheet1!N21</f>
        <v>1.0905000000000005</v>
      </c>
      <c r="D15" s="29">
        <f>Sheet1!P21</f>
        <v>1.182666666666667</v>
      </c>
      <c r="E15" s="29">
        <f>Sheet1!T21</f>
        <v>1.0631666666666661</v>
      </c>
    </row>
    <row r="16" spans="1:5" ht="12.75">
      <c r="A16" s="93" t="str">
        <f>Sheet1!B22</f>
        <v>   03/01</v>
      </c>
      <c r="B16" s="29">
        <f>Sheet1!L22</f>
        <v>0.8956666666666668</v>
      </c>
      <c r="C16" s="29">
        <f>Sheet1!N22</f>
        <v>1.0578333333333338</v>
      </c>
      <c r="D16" s="29">
        <f>Sheet1!P22</f>
        <v>1.1818333333333337</v>
      </c>
      <c r="E16" s="29">
        <f>Sheet1!T22</f>
        <v>1.0451111111111107</v>
      </c>
    </row>
    <row r="17" spans="1:5" ht="12.75">
      <c r="A17" s="93" t="str">
        <f>Sheet1!B23</f>
        <v>   04/01</v>
      </c>
      <c r="B17" s="29">
        <f>Sheet1!L23</f>
        <v>0.9473333333333335</v>
      </c>
      <c r="C17" s="29">
        <f>Sheet1!N23</f>
        <v>1.1135000000000006</v>
      </c>
      <c r="D17" s="29">
        <f>Sheet1!P23</f>
        <v>1.234166666666667</v>
      </c>
      <c r="E17" s="29">
        <f>Sheet1!T23</f>
        <v>1.0983333333333327</v>
      </c>
    </row>
    <row r="18" spans="1:5" ht="12.75">
      <c r="A18" s="93" t="str">
        <f>Sheet1!B26</f>
        <v>   05/01</v>
      </c>
      <c r="B18" s="29">
        <f>Sheet1!L26</f>
        <v>0.9445341951369653</v>
      </c>
      <c r="C18" s="29">
        <f>Sheet1!N26</f>
        <v>1.1351961030798245</v>
      </c>
      <c r="D18" s="29">
        <f>Sheet1!P26</f>
        <v>1.2670777777777782</v>
      </c>
      <c r="E18" s="29">
        <f>Sheet1!T26</f>
        <v>1.1155996069892182</v>
      </c>
    </row>
    <row r="19" spans="1:5" ht="12.75">
      <c r="A19" s="93" t="str">
        <f>Sheet1!B27</f>
        <v>   06/01</v>
      </c>
      <c r="B19" s="29">
        <f>Sheet1!L27</f>
        <v>0.9263397968605726</v>
      </c>
      <c r="C19" s="29">
        <f>Sheet1!N27</f>
        <v>1.1633660433689508</v>
      </c>
      <c r="D19" s="29">
        <f>Sheet1!P27</f>
        <v>1.2549986997635938</v>
      </c>
      <c r="E19" s="29">
        <f>Sheet1!T27</f>
        <v>1.1148996229220878</v>
      </c>
    </row>
    <row r="20" spans="1:5" ht="12.75">
      <c r="A20" s="93" t="str">
        <f>Sheet1!B28</f>
        <v>   07/01</v>
      </c>
      <c r="B20" s="29">
        <f>Sheet1!L28</f>
        <v>0.9226659279778394</v>
      </c>
      <c r="C20" s="29">
        <f>Sheet1!N28</f>
        <v>1.1633660433689508</v>
      </c>
      <c r="D20" s="29">
        <f>Sheet1!P28</f>
        <v>1.307166312056738</v>
      </c>
      <c r="E20" s="29">
        <f>Sheet1!T28</f>
        <v>1.1310575884716834</v>
      </c>
    </row>
    <row r="21" spans="1:5" ht="12.75">
      <c r="A21" s="93" t="str">
        <f>Sheet1!B29</f>
        <v>   08/01</v>
      </c>
      <c r="B21" s="29">
        <f>Sheet1!L29</f>
        <v>0.8854024007386889</v>
      </c>
      <c r="C21" s="29">
        <f>Sheet1!N29</f>
        <v>1.149893463230673</v>
      </c>
      <c r="D21" s="29">
        <f>Sheet1!P29</f>
        <v>1.2823079196217497</v>
      </c>
      <c r="E21" s="29">
        <f>Sheet1!T29</f>
        <v>1.1058581620549857</v>
      </c>
    </row>
    <row r="22" spans="1:5" ht="12.75">
      <c r="A22" s="93" t="str">
        <f>Sheet1!B30</f>
        <v>   09/01</v>
      </c>
      <c r="B22" s="29">
        <f>Sheet1!L30</f>
        <v>0.8210222222222223</v>
      </c>
      <c r="C22" s="29">
        <f>Sheet1!N30</f>
        <v>1.0484116907605283</v>
      </c>
      <c r="D22" s="29">
        <f>Sheet1!P30</f>
        <v>1.1711453900709223</v>
      </c>
      <c r="E22" s="29">
        <f>Sheet1!T30</f>
        <v>1.0135185971993552</v>
      </c>
    </row>
    <row r="23" spans="1:5" ht="12.75">
      <c r="A23" s="93" t="str">
        <f>Sheet1!B31</f>
        <v>   10/01</v>
      </c>
      <c r="B23" s="29">
        <f>Sheet1!L31</f>
        <v>0.8409660818713451</v>
      </c>
      <c r="C23" s="29">
        <f>Sheet1!N31</f>
        <v>1.0949533312382154</v>
      </c>
      <c r="D23" s="29">
        <f>Sheet1!P31</f>
        <v>1.1928527186761233</v>
      </c>
      <c r="E23" s="29">
        <f>Sheet1!T31</f>
        <v>1.0429179280188359</v>
      </c>
    </row>
    <row r="24" spans="1:5" ht="12.75">
      <c r="A24" s="93" t="str">
        <f>Sheet1!B32</f>
        <v>   11/01</v>
      </c>
      <c r="B24" s="29">
        <f>Sheet1!L32</f>
        <v>0.888551431209603</v>
      </c>
      <c r="C24" s="29">
        <f>Sheet1!N32</f>
        <v>1.1393953488372097</v>
      </c>
      <c r="D24" s="29">
        <f>Sheet1!P32</f>
        <v>1.2642768321513005</v>
      </c>
      <c r="E24" s="29">
        <f>Sheet1!T32</f>
        <v>1.0974000212438257</v>
      </c>
    </row>
    <row r="25" spans="1:5" ht="12.75">
      <c r="A25" s="93" t="str">
        <f>Sheet1!B33</f>
        <v>   12/01</v>
      </c>
      <c r="B25" s="29">
        <f>Sheet1!L33</f>
        <v>0.9070957217605419</v>
      </c>
      <c r="C25" s="29">
        <f>Sheet1!N33</f>
        <v>1.177538497800126</v>
      </c>
      <c r="D25" s="29">
        <f>Sheet1!P33</f>
        <v>1.3066411347517732</v>
      </c>
      <c r="E25" s="29">
        <f>Sheet1!T33</f>
        <v>1.1304159364101471</v>
      </c>
    </row>
    <row r="26" spans="1:5" ht="12.75">
      <c r="A26" s="93" t="str">
        <f>Sheet1!B34</f>
        <v>   01/2002</v>
      </c>
      <c r="B26" s="29">
        <f>Sheet1!L34</f>
        <v>0.8696572483841183</v>
      </c>
      <c r="C26" s="29">
        <f>Sheet1!N34</f>
        <v>1.18208768070396</v>
      </c>
      <c r="D26" s="29">
        <f>Sheet1!P34</f>
        <v>1.288434988179669</v>
      </c>
      <c r="E26" s="29">
        <f>Sheet1!T34</f>
        <v>1.1133829907766386</v>
      </c>
    </row>
    <row r="27" spans="1:5" ht="12.75">
      <c r="A27" s="93" t="str">
        <f>Sheet1!B35</f>
        <v>   02/02</v>
      </c>
      <c r="B27" s="29">
        <f>Sheet1!L35</f>
        <v>0.8442900584795322</v>
      </c>
      <c r="C27" s="29">
        <f>Sheet1!N35</f>
        <v>1.17211447203017</v>
      </c>
      <c r="D27" s="29">
        <f>Sheet1!P35</f>
        <v>1.2674278959810876</v>
      </c>
      <c r="E27" s="29">
        <f>Sheet1!T35</f>
        <v>1.0946000849753037</v>
      </c>
    </row>
    <row r="28" spans="1:5" ht="12.75">
      <c r="A28" s="93" t="str">
        <f>Sheet1!B36</f>
        <v>   03/02</v>
      </c>
      <c r="B28" s="29">
        <f>Sheet1!L36</f>
        <v>0.8546118805786397</v>
      </c>
      <c r="C28" s="29">
        <f>Sheet1!N36</f>
        <v>1.2167314582023887</v>
      </c>
      <c r="D28" s="29">
        <f>Sheet1!P36</f>
        <v>1.3357009456264777</v>
      </c>
      <c r="E28" s="29">
        <f>Sheet1!T36</f>
        <v>1.1356658169136258</v>
      </c>
    </row>
    <row r="29" spans="1:5" ht="12.75">
      <c r="A29" s="93" t="str">
        <f>Sheet1!B37</f>
        <v>   04/02</v>
      </c>
      <c r="B29" s="29">
        <f>Sheet1!L37</f>
        <v>0.7769357956294245</v>
      </c>
      <c r="C29" s="29">
        <f>Sheet1!N37</f>
        <v>1.242101901319925</v>
      </c>
      <c r="D29" s="29">
        <f>Sheet1!P37</f>
        <v>1.2945620567375888</v>
      </c>
      <c r="E29" s="29">
        <f>Sheet1!T37</f>
        <v>1.104516525926319</v>
      </c>
    </row>
    <row r="30" spans="1:5" ht="12.75">
      <c r="A30" s="93" t="str">
        <f>Sheet1!B41</f>
        <v>   05/02</v>
      </c>
      <c r="B30" s="29">
        <f>Sheet1!L41</f>
        <v>0.7528196882536932</v>
      </c>
      <c r="C30" s="29">
        <f>Sheet1!N41</f>
        <v>1.2270100529016665</v>
      </c>
      <c r="D30" s="29">
        <f>Sheet1!P41</f>
        <v>1.2840753136019685</v>
      </c>
      <c r="E30" s="29">
        <f>Sheet1!T41</f>
        <v>1.0934723445584917</v>
      </c>
    </row>
    <row r="31" spans="1:5" ht="12.75">
      <c r="A31" s="93" t="str">
        <f>Sheet1!B42</f>
        <v>   06/02</v>
      </c>
      <c r="B31" s="29">
        <f>Sheet1!L42</f>
        <v>0.6654176129075084</v>
      </c>
      <c r="C31" s="29">
        <f>Sheet1!N42</f>
        <v>1.1949902186975048</v>
      </c>
      <c r="D31" s="29">
        <f>Sheet1!P42</f>
        <v>1.2051813984634474</v>
      </c>
      <c r="E31" s="29">
        <f>Sheet1!T42</f>
        <v>1.0460610759917053</v>
      </c>
    </row>
    <row r="32" spans="1:5" ht="12.75">
      <c r="A32" s="93" t="str">
        <f>Sheet1!B43</f>
        <v>   07/02</v>
      </c>
      <c r="B32" s="29">
        <f>Sheet1!L43</f>
        <v>0.6131348004647756</v>
      </c>
      <c r="C32" s="29">
        <f>Sheet1!N43</f>
        <v>1.0839214188018187</v>
      </c>
      <c r="D32" s="29">
        <f>Sheet1!P43</f>
        <v>1.1040025137890452</v>
      </c>
      <c r="E32" s="29">
        <f>Sheet1!T43</f>
        <v>0.9836454630276479</v>
      </c>
    </row>
    <row r="33" spans="1:5" ht="12.75">
      <c r="A33" s="93" t="str">
        <f>Sheet1!B44</f>
        <v>   08/02</v>
      </c>
      <c r="B33" s="29">
        <f>Sheet1!L44</f>
        <v>0.6155112919394453</v>
      </c>
      <c r="C33" s="29">
        <f>Sheet1!N44</f>
        <v>1.1206941971456608</v>
      </c>
      <c r="D33" s="29">
        <f>Sheet1!P44</f>
        <v>1.0973426378357936</v>
      </c>
      <c r="E33" s="29">
        <f>Sheet1!T44</f>
        <v>0.9959441059762307</v>
      </c>
    </row>
    <row r="34" spans="1:5" ht="12.75">
      <c r="A34" s="93" t="str">
        <f>Sheet1!B45</f>
        <v>   09/02</v>
      </c>
      <c r="B34" s="29">
        <f>Sheet1!L45</f>
        <v>0.5574192781141866</v>
      </c>
      <c r="C34" s="29">
        <f>Sheet1!N45</f>
        <v>1.0794186296168586</v>
      </c>
      <c r="D34" s="29">
        <f>Sheet1!P45</f>
        <v>0.9610713298692571</v>
      </c>
      <c r="E34" s="29">
        <f>Sheet1!T45</f>
        <v>0.9422605295056671</v>
      </c>
    </row>
    <row r="35" spans="1:5" ht="12.75">
      <c r="A35" s="93" t="str">
        <f>Sheet1!B46</f>
        <v>   10/02</v>
      </c>
      <c r="B35" s="29">
        <f>Sheet1!L46</f>
        <v>0.6015163976997238</v>
      </c>
      <c r="C35" s="29">
        <f>Sheet1!N46</f>
        <v>1.0729146007941384</v>
      </c>
      <c r="D35" s="29">
        <f>Sheet1!P46</f>
        <v>0.9508253668642543</v>
      </c>
      <c r="E35" s="29">
        <f>Sheet1!T46</f>
        <v>0.9498856881337885</v>
      </c>
    </row>
    <row r="36" spans="1:5" ht="12.75">
      <c r="A36" s="93" t="str">
        <f>Sheet1!B47</f>
        <v>   11/02</v>
      </c>
      <c r="B36" s="29">
        <f>Sheet1!L47</f>
        <v>0.6147191281145553</v>
      </c>
      <c r="C36" s="29">
        <f>Sheet1!N47</f>
        <v>1.1081864494096605</v>
      </c>
      <c r="D36" s="29">
        <f>Sheet1!P47</f>
        <v>0.9892477281330146</v>
      </c>
      <c r="E36" s="29">
        <f>Sheet1!T47</f>
        <v>0.9733146029508386</v>
      </c>
    </row>
    <row r="37" spans="1:5" ht="12.75">
      <c r="A37" s="93" t="str">
        <f>Sheet1!B48</f>
        <v>   12/02</v>
      </c>
      <c r="B37" s="29">
        <f>Sheet1!L48</f>
        <v>0.577751482953027</v>
      </c>
      <c r="C37" s="29">
        <f>Sheet1!N48</f>
        <v>1.080669404390459</v>
      </c>
      <c r="D37" s="29">
        <f>Sheet1!P48</f>
        <v>0.95313070854038</v>
      </c>
      <c r="E37" s="29">
        <f>Sheet1!T48</f>
        <v>0.9562809824670515</v>
      </c>
    </row>
    <row r="38" spans="1:5" ht="12.75">
      <c r="A38" s="93" t="str">
        <f>Sheet1!B49</f>
        <v>   01/2003</v>
      </c>
      <c r="B38" s="29">
        <f>Sheet1!L49</f>
        <v>0.5719422815705012</v>
      </c>
      <c r="C38" s="29">
        <f>Sheet1!N49</f>
        <v>1.0476489503674171</v>
      </c>
      <c r="D38" s="29">
        <f>Sheet1!P49</f>
        <v>0.949032323338379</v>
      </c>
      <c r="E38" s="29">
        <f>Sheet1!T49</f>
        <v>0.9455811631017845</v>
      </c>
    </row>
    <row r="39" spans="1:5" ht="12.75">
      <c r="A39" s="93" t="str">
        <f>Sheet1!B50</f>
        <v>   02/03</v>
      </c>
      <c r="B39" s="29">
        <f>Sheet1!L50</f>
        <v>0.5627003702801192</v>
      </c>
      <c r="C39" s="29">
        <f>Sheet1!N50</f>
        <v>1.0326396530842163</v>
      </c>
      <c r="D39" s="29">
        <f>Sheet1!P50</f>
        <v>0.9029254898158666</v>
      </c>
      <c r="E39" s="29">
        <f>Sheet1!T50</f>
        <v>0.9328520676500014</v>
      </c>
    </row>
    <row r="40" spans="1:5" ht="12.75">
      <c r="A40" s="93" t="str">
        <f>Sheet1!B51</f>
        <v>   03/03</v>
      </c>
      <c r="B40" s="29">
        <f>Sheet1!L51</f>
        <v>0.5793358106028069</v>
      </c>
      <c r="C40" s="29">
        <f>Sheet1!N51</f>
        <v>1.0659102620619783</v>
      </c>
      <c r="D40" s="29">
        <f>Sheet1!P51</f>
        <v>0.9290526954786236</v>
      </c>
      <c r="E40" s="29">
        <f>Sheet1!T51</f>
        <v>0.951730484576076</v>
      </c>
    </row>
    <row r="41" spans="1:5" ht="12.75">
      <c r="A41" s="93" t="str">
        <f>Sheet1!B52</f>
        <v>   04/03</v>
      </c>
      <c r="B41" s="29">
        <f>Sheet1!L52</f>
        <v>0.6289780769625735</v>
      </c>
      <c r="C41" s="29">
        <f>Sheet1!N52</f>
        <v>1.1294496205608617</v>
      </c>
      <c r="D41" s="29">
        <f>Sheet1!P52</f>
        <v>0.9900161753583898</v>
      </c>
      <c r="E41" s="29">
        <f>Sheet1!T52</f>
        <v>0.9975429295595467</v>
      </c>
    </row>
    <row r="42" spans="1:5" ht="12.75">
      <c r="A42" s="93" t="str">
        <f>Sheet1!B55</f>
        <v>   05/03</v>
      </c>
      <c r="B42" s="29">
        <f>Sheet1!L55</f>
        <v>0.6618345209776496</v>
      </c>
      <c r="C42" s="29">
        <f>Sheet1!N55</f>
        <v>1.2266038952708298</v>
      </c>
      <c r="D42" s="29">
        <f>Sheet1!P55</f>
        <v>1.0632128431631098</v>
      </c>
      <c r="E42" s="29">
        <f>Sheet1!T55</f>
        <v>1.0536477171456209</v>
      </c>
    </row>
    <row r="43" spans="1:5" ht="12.75">
      <c r="A43" s="93" t="str">
        <f>Sheet1!B56</f>
        <v>   06/03</v>
      </c>
      <c r="B43" s="29">
        <f>Sheet1!L56</f>
        <v>0.659066497050516</v>
      </c>
      <c r="C43" s="29">
        <f>Sheet1!N56</f>
        <v>1.2449819502085349</v>
      </c>
      <c r="D43" s="29">
        <f>Sheet1!P56</f>
        <v>1.1035267780656544</v>
      </c>
      <c r="E43" s="29">
        <f>Sheet1!T56</f>
        <v>1.0670144559731716</v>
      </c>
    </row>
    <row r="44" spans="1:5" ht="12.75">
      <c r="A44" s="93" t="str">
        <f>Sheet1!B57</f>
        <v>   07/03</v>
      </c>
      <c r="B44" s="29">
        <f>Sheet1!L57</f>
        <v>0.6895147602489858</v>
      </c>
      <c r="C44" s="29">
        <f>Sheet1!N57</f>
        <v>1.285413671071486</v>
      </c>
      <c r="D44" s="29">
        <f>Sheet1!P57</f>
        <v>1.1572786912690471</v>
      </c>
      <c r="E44" s="29">
        <f>Sheet1!T57</f>
        <v>1.0834807284418935</v>
      </c>
    </row>
    <row r="45" spans="1:5" ht="12.75">
      <c r="A45" s="93" t="str">
        <f>Sheet1!B58</f>
        <v>   08/03</v>
      </c>
      <c r="B45" s="29">
        <f>Sheet1!L58</f>
        <v>0.6920059817834062</v>
      </c>
      <c r="C45" s="29">
        <f>Sheet1!N58</f>
        <v>1.3324089829836177</v>
      </c>
      <c r="D45" s="29">
        <f>Sheet1!P58</f>
        <v>1.1986676644356595</v>
      </c>
      <c r="E45" s="29">
        <f>Sheet1!T58</f>
        <v>1.1082124239537385</v>
      </c>
    </row>
    <row r="46" spans="1:5" ht="12.75">
      <c r="A46" s="93" t="str">
        <f>Sheet1!B59</f>
        <v>   09/03</v>
      </c>
      <c r="B46" s="29">
        <f>Sheet1!L59</f>
        <v>0.6776122573623113</v>
      </c>
      <c r="C46" s="29">
        <f>Sheet1!N59</f>
        <v>1.308517511564601</v>
      </c>
      <c r="D46" s="29">
        <f>Sheet1!P59</f>
        <v>1.187917281794981</v>
      </c>
      <c r="E46" s="29">
        <f>Sheet1!T59</f>
        <v>1.106339789045531</v>
      </c>
    </row>
    <row r="47" spans="1:5" ht="12.75">
      <c r="A47" s="93" t="str">
        <f>Sheet1!B60</f>
        <v>   10/03</v>
      </c>
      <c r="B47" s="29">
        <f>Sheet1!L60</f>
        <v>0.7086141253462079</v>
      </c>
      <c r="C47" s="29">
        <f>Sheet1!N60</f>
        <v>1.3870180605127984</v>
      </c>
      <c r="D47" s="29">
        <f>Sheet1!P60</f>
        <v>1.2438192715265095</v>
      </c>
      <c r="E47" s="29">
        <f>Sheet1!T60</f>
        <v>1.1434050455045361</v>
      </c>
    </row>
    <row r="48" spans="1:5" ht="12.75">
      <c r="A48" s="93" t="str">
        <f>Sheet1!B61</f>
        <v>   11/03</v>
      </c>
      <c r="B48" s="29">
        <f>Sheet1!L61</f>
        <v>0.7243918617308696</v>
      </c>
      <c r="C48" s="29">
        <f>Sheet1!N61</f>
        <v>1.4615804548314875</v>
      </c>
      <c r="D48" s="29">
        <f>Sheet1!P61</f>
        <v>1.2803705725048165</v>
      </c>
      <c r="E48" s="29">
        <f>Sheet1!T61</f>
        <v>1.1750461180914917</v>
      </c>
    </row>
    <row r="49" spans="1:5" ht="12.75">
      <c r="A49" s="93" t="str">
        <f>Sheet1!B62</f>
        <v>   12/03</v>
      </c>
      <c r="B49" s="29">
        <f>Sheet1!L62</f>
        <v>0.738508783759251</v>
      </c>
      <c r="C49" s="29">
        <f>Sheet1!N62</f>
        <v>1.539030829211816</v>
      </c>
      <c r="D49" s="29">
        <f>Sheet1!P62</f>
        <v>1.3169218734831234</v>
      </c>
      <c r="E49" s="29">
        <f>Sheet1!T62</f>
        <v>1.2090118409093258</v>
      </c>
    </row>
    <row r="50" spans="1:5" ht="12.75">
      <c r="A50" s="93" t="str">
        <f>Sheet1!B63</f>
        <v>   01/2004</v>
      </c>
      <c r="B50" s="29">
        <f>Sheet1!L63</f>
        <v>0.7598225679981799</v>
      </c>
      <c r="C50" s="29">
        <f>Sheet1!N63</f>
        <v>1.5665979116183737</v>
      </c>
      <c r="D50" s="29">
        <f>Sheet1!P63</f>
        <v>1.342722791820752</v>
      </c>
      <c r="E50" s="29">
        <f>Sheet1!T63</f>
        <v>1.2299982666047555</v>
      </c>
    </row>
    <row r="51" spans="1:5" ht="12.75">
      <c r="A51" s="93" t="str">
        <f>Sheet1!B64</f>
        <v>   02/04</v>
      </c>
      <c r="B51" s="29">
        <f>Sheet1!L64</f>
        <v>0.7614833823544601</v>
      </c>
      <c r="C51" s="29">
        <f>Sheet1!N64</f>
        <v>1.5616095824209966</v>
      </c>
      <c r="D51" s="29">
        <f>Sheet1!P64</f>
        <v>1.3628797592720245</v>
      </c>
      <c r="E51" s="29">
        <f>Sheet1!T64</f>
        <v>1.2375533798551102</v>
      </c>
    </row>
    <row r="52" spans="1:5" ht="12.75">
      <c r="A52" s="93" t="str">
        <f>Sheet1!B65</f>
        <v>   03/04</v>
      </c>
      <c r="B52" s="29">
        <f>Sheet1!L65</f>
        <v>0.7753235019901282</v>
      </c>
      <c r="C52" s="29">
        <f>Sheet1!N65</f>
        <v>1.597578061370505</v>
      </c>
      <c r="D52" s="29">
        <f>Sheet1!P65</f>
        <v>1.337347600500413</v>
      </c>
      <c r="E52" s="29">
        <f>Sheet1!T65</f>
        <v>1.2454959348106112</v>
      </c>
    </row>
    <row r="53" spans="1:5" ht="12.75">
      <c r="A53" s="93" t="str">
        <f>Sheet1!B66</f>
        <v>   04/04</v>
      </c>
      <c r="B53" s="29">
        <f>Sheet1!L66</f>
        <v>0.7473664603260787</v>
      </c>
      <c r="C53" s="29">
        <f>Sheet1!N66</f>
        <v>1.5516329240262423</v>
      </c>
      <c r="D53" s="29">
        <f>Sheet1!P66</f>
        <v>1.3037526547482925</v>
      </c>
      <c r="E53" s="29">
        <f>Sheet1!T66</f>
        <v>1.2108844758175332</v>
      </c>
    </row>
    <row r="54" spans="1:5" ht="12.75">
      <c r="A54" s="93" t="str">
        <f>Sheet1!B67</f>
        <v>   05/04</v>
      </c>
      <c r="B54" s="29">
        <f>Sheet1!L67</f>
        <v>0.7515184962167791</v>
      </c>
      <c r="C54" s="29">
        <f>Sheet1!N67</f>
        <v>1.5834007047042755</v>
      </c>
      <c r="D54" s="29">
        <f>Sheet1!P67</f>
        <v>1.2830581681649862</v>
      </c>
      <c r="E54" s="29">
        <f>Sheet1!T67</f>
        <v>1.2137902886061311</v>
      </c>
    </row>
    <row r="55" spans="1:5" ht="12.75">
      <c r="A55" s="93" t="str">
        <f>Sheet1!B70</f>
        <v>   06/04</v>
      </c>
      <c r="B55" s="29">
        <f>Sheet1!L70</f>
        <v>0.7544516641955665</v>
      </c>
      <c r="C55" s="29">
        <f>Sheet1!N70</f>
        <v>1.657638813441884</v>
      </c>
      <c r="D55" s="29">
        <f>Sheet1!P70</f>
        <v>1.314757519177283</v>
      </c>
      <c r="E55" s="29">
        <f>Sheet1!T70</f>
        <v>1.241265051119498</v>
      </c>
    </row>
    <row r="56" spans="1:5" ht="12.75">
      <c r="A56" s="93" t="str">
        <f>Sheet1!B71</f>
        <v>   07/04</v>
      </c>
      <c r="B56" s="29">
        <f>Sheet1!L71</f>
        <v>0.7048358874399586</v>
      </c>
      <c r="C56" s="29">
        <f>Sheet1!N71</f>
        <v>1.5616269577281616</v>
      </c>
      <c r="D56" s="29">
        <f>Sheet1!P71</f>
        <v>1.2435899243285664</v>
      </c>
      <c r="E56" s="29">
        <f>Sheet1!T71</f>
        <v>1.1928532467403772</v>
      </c>
    </row>
    <row r="57" spans="1:5" ht="12.75">
      <c r="A57" s="93" t="str">
        <f>Sheet1!B72</f>
        <v>   08/04</v>
      </c>
      <c r="B57" s="29">
        <f>Sheet1!L72</f>
        <v>0.70571145997094</v>
      </c>
      <c r="C57" s="29">
        <f>Sheet1!N72</f>
        <v>1.5309363429427816</v>
      </c>
      <c r="D57" s="29">
        <f>Sheet1!P72</f>
        <v>1.2430228518596522</v>
      </c>
      <c r="E57" s="29">
        <f>Sheet1!T72</f>
        <v>1.1925809835171555</v>
      </c>
    </row>
    <row r="58" spans="1:5" ht="12.75">
      <c r="A58" s="93" t="str">
        <f>Sheet1!B73</f>
        <v>   09/04</v>
      </c>
      <c r="B58" s="29">
        <f>Sheet1!L73</f>
        <v>0.7258496281835102</v>
      </c>
      <c r="C58" s="29">
        <f>Sheet1!N73</f>
        <v>1.570474702531154</v>
      </c>
      <c r="D58" s="29">
        <f>Sheet1!P73</f>
        <v>1.25663259111359</v>
      </c>
      <c r="E58" s="29">
        <f>Sheet1!T73</f>
        <v>1.210958751084625</v>
      </c>
    </row>
    <row r="59" spans="1:5" ht="12.75">
      <c r="A59" s="93" t="str">
        <f>Sheet1!B74</f>
        <v>   10/04</v>
      </c>
      <c r="B59" s="29">
        <f>Sheet1!L74</f>
        <v>0.7442366513341179</v>
      </c>
      <c r="C59" s="29">
        <f>Sheet1!N74</f>
        <v>1.5724101467068086</v>
      </c>
      <c r="D59" s="29">
        <f>Sheet1!P74</f>
        <v>1.2583338085203324</v>
      </c>
      <c r="E59" s="29">
        <f>Sheet1!T74</f>
        <v>1.2189224503638616</v>
      </c>
    </row>
    <row r="60" spans="1:5" ht="12.75">
      <c r="A60" s="93" t="str">
        <f>Sheet1!B75</f>
        <v>   11/04</v>
      </c>
      <c r="B60" s="29">
        <f>Sheet1!L75</f>
        <v>0.7833455577179499</v>
      </c>
      <c r="C60" s="29">
        <f>Sheet1!N75</f>
        <v>1.705097010597035</v>
      </c>
      <c r="D60" s="29">
        <f>Sheet1!P75</f>
        <v>1.323263606210994</v>
      </c>
      <c r="E60" s="29">
        <f>Sheet1!T75</f>
        <v>1.273504011644411</v>
      </c>
    </row>
    <row r="61" spans="1:5" ht="12.75">
      <c r="A61" s="93" t="str">
        <f>Sheet1!B76</f>
        <v>   12/04</v>
      </c>
      <c r="B61" s="29">
        <f>Sheet1!L76</f>
        <v>0.8129282349647052</v>
      </c>
      <c r="C61" s="29">
        <f>Sheet1!N76</f>
        <v>1.796540112088112</v>
      </c>
      <c r="D61" s="29">
        <f>Sheet1!P76</f>
        <v>1.3620995642445741</v>
      </c>
      <c r="E61" s="29">
        <f>Sheet1!T76</f>
        <v>1.3161462860602393</v>
      </c>
    </row>
    <row r="62" spans="1:5" ht="12.75">
      <c r="A62" s="93" t="str">
        <f>Sheet1!B79</f>
        <v>   01/2005</v>
      </c>
      <c r="B62" s="29">
        <f>Sheet1!L79</f>
        <v>0.7976913803080494</v>
      </c>
      <c r="C62" s="29">
        <f>Sheet1!N79</f>
        <v>1.7220288924645486</v>
      </c>
      <c r="D62" s="29">
        <f>Sheet1!P79</f>
        <v>1.3446118178373792</v>
      </c>
      <c r="E62" s="29">
        <f>Sheet1!T79</f>
        <v>1.2922511451136642</v>
      </c>
    </row>
    <row r="63" spans="1:5" ht="12.75">
      <c r="A63" s="93" t="str">
        <f>Sheet1!B80</f>
        <v>   02/05</v>
      </c>
      <c r="B63" s="29">
        <f>Sheet1!L80</f>
        <v>0.8036438800407469</v>
      </c>
      <c r="C63" s="29">
        <f>Sheet1!N80</f>
        <v>1.7722199725878796</v>
      </c>
      <c r="D63" s="29">
        <f>Sheet1!P80</f>
        <v>1.389064774719544</v>
      </c>
      <c r="E63" s="29">
        <f>Sheet1!T80</f>
        <v>1.3137245591423263</v>
      </c>
    </row>
    <row r="64" spans="1:5" ht="12.75">
      <c r="A64" s="93" t="str">
        <f>Sheet1!B81</f>
        <v>   03/05</v>
      </c>
      <c r="B64" s="29">
        <f>Sheet1!L81</f>
        <v>0.7782341881033316</v>
      </c>
      <c r="C64" s="29">
        <f>Sheet1!N81</f>
        <v>1.8148779588328308</v>
      </c>
      <c r="D64" s="29">
        <f>Sheet1!P81</f>
        <v>1.3728032086277697</v>
      </c>
      <c r="E64" s="29">
        <f>Sheet1!T81</f>
        <v>1.3048791422212664</v>
      </c>
    </row>
    <row r="65" spans="1:5" ht="12.75">
      <c r="A65" s="93" t="str">
        <f>Sheet1!B82</f>
        <v>   04/05</v>
      </c>
      <c r="B65" s="29">
        <f>Sheet1!L82</f>
        <v>0.7218145386748187</v>
      </c>
      <c r="C65" s="29">
        <f>Sheet1!N82</f>
        <v>1.7235902622935688</v>
      </c>
      <c r="D65" s="29">
        <f>Sheet1!P82</f>
        <v>1.3267079661012982</v>
      </c>
      <c r="E65" s="29">
        <f>Sheet1!T82</f>
        <v>1.2572243657343136</v>
      </c>
    </row>
    <row r="66" spans="1:5" ht="12.75">
      <c r="A66" s="93" t="str">
        <f>Sheet1!B85</f>
        <v>   05/05</v>
      </c>
      <c r="B66" s="29">
        <f>Sheet1!L85</f>
        <v>0.7727617364386703</v>
      </c>
      <c r="C66" s="29">
        <f>Sheet1!N85</f>
        <v>1.7768856593603088</v>
      </c>
      <c r="D66" s="29">
        <f>Sheet1!P85</f>
        <v>1.310452626329798</v>
      </c>
      <c r="E66" s="29">
        <f>Sheet1!T85</f>
        <v>1.282745034757306</v>
      </c>
    </row>
    <row r="67" spans="1:5" ht="12.75">
      <c r="A67" s="93" t="str">
        <f>Sheet1!B86</f>
        <v>   06/05</v>
      </c>
      <c r="B67" s="29">
        <f>Sheet1!L86</f>
        <v>0.7837081276141302</v>
      </c>
      <c r="C67" s="29">
        <f>Sheet1!N86</f>
        <v>1.857955180506319</v>
      </c>
      <c r="D67" s="29">
        <f>Sheet1!P86</f>
        <v>1.3371654734929261</v>
      </c>
      <c r="E67" s="29">
        <f>Sheet1!T86</f>
        <v>1.3094725758409878</v>
      </c>
    </row>
    <row r="68" spans="1:5" ht="12.75">
      <c r="A68" s="93" t="str">
        <f>Sheet1!B87</f>
        <v>   07/05</v>
      </c>
      <c r="B68" s="29">
        <f>Sheet1!L87</f>
        <v>0.80512956563858</v>
      </c>
      <c r="C68" s="29">
        <f>Sheet1!N87</f>
        <v>1.9705168832532418</v>
      </c>
      <c r="D68" s="29">
        <f>Sheet1!P87</f>
        <v>1.407126091673503</v>
      </c>
      <c r="E68" s="29">
        <f>Sheet1!T87</f>
        <v>1.353508573938248</v>
      </c>
    </row>
    <row r="69" spans="1:5" ht="12.75">
      <c r="A69" s="93" t="str">
        <f>Sheet1!B88</f>
        <v>   08/05</v>
      </c>
      <c r="B69" s="29">
        <f>Sheet1!L88</f>
        <v>0.7836921465186948</v>
      </c>
      <c r="C69" s="29">
        <f>Sheet1!N88</f>
        <v>1.9639585937738433</v>
      </c>
      <c r="D69" s="29">
        <f>Sheet1!P88</f>
        <v>1.38878205044364</v>
      </c>
      <c r="E69" s="29">
        <f>Sheet1!T88</f>
        <v>1.3437791640555985</v>
      </c>
    </row>
    <row r="70" spans="1:5" ht="12.75">
      <c r="A70" s="93" t="str">
        <f>Sheet1!B89</f>
        <v>   09/05</v>
      </c>
      <c r="B70" s="29">
        <f>Sheet1!L89</f>
        <v>0.7732554578619825</v>
      </c>
      <c r="C70" s="29">
        <f>Sheet1!N89</f>
        <v>1.9742348630327273</v>
      </c>
      <c r="D70" s="29">
        <f>Sheet1!P89</f>
        <v>1.38606659824826</v>
      </c>
      <c r="E70" s="29">
        <f>Sheet1!T89</f>
        <v>1.3364950865415683</v>
      </c>
    </row>
    <row r="71" spans="1:5" ht="12.75">
      <c r="A71" s="93" t="str">
        <f>Sheet1!B90</f>
        <v>   10/05</v>
      </c>
      <c r="B71" s="29">
        <f>Sheet1!L90</f>
        <v>0.7603385281362911</v>
      </c>
      <c r="C71" s="29">
        <f>Sheet1!N90</f>
        <v>1.924107381114797</v>
      </c>
      <c r="D71" s="29">
        <f>Sheet1!P90</f>
        <v>1.3463234193806477</v>
      </c>
      <c r="E71" s="29">
        <f>Sheet1!T90</f>
        <v>1.3086902641814995</v>
      </c>
    </row>
    <row r="72" spans="1:5" ht="12.75">
      <c r="A72" s="93" t="str">
        <f>Sheet1!B91</f>
        <v>   11/05</v>
      </c>
      <c r="B72" s="29">
        <f>Sheet1!L91</f>
        <v>0.8008372963940523</v>
      </c>
      <c r="C72" s="29">
        <f>Sheet1!N91</f>
        <v>2.0838712839023175</v>
      </c>
      <c r="D72" s="29">
        <f>Sheet1!P91</f>
        <v>1.4140199617182179</v>
      </c>
      <c r="E72" s="29">
        <f>Sheet1!T91</f>
        <v>1.3710741736426544</v>
      </c>
    </row>
    <row r="73" spans="1:5" ht="12.75">
      <c r="A73" s="93" t="str">
        <f>Sheet1!B92</f>
        <v>   12/05</v>
      </c>
      <c r="B73" s="29">
        <f>Sheet1!L92</f>
        <v>0.806655109962842</v>
      </c>
      <c r="C73" s="29">
        <f>Sheet1!N92</f>
        <v>2.1013961541222033</v>
      </c>
      <c r="D73" s="29">
        <f>Sheet1!P92</f>
        <v>1.4080938000652254</v>
      </c>
      <c r="E73" s="29">
        <f>Sheet1!T92</f>
        <v>1.377592681268233</v>
      </c>
    </row>
    <row r="74" spans="1:5" ht="12.75">
      <c r="A74" s="93" t="str">
        <f>Sheet1!B93</f>
        <v>   01/2006</v>
      </c>
      <c r="B74" s="29">
        <f>Sheet1!L93</f>
        <v>0.8475488981180366</v>
      </c>
      <c r="C74" s="29">
        <f>Sheet1!N93</f>
        <v>2.2563491001473164</v>
      </c>
      <c r="D74" s="29">
        <f>Sheet1!P93</f>
        <v>1.4695041184812812</v>
      </c>
      <c r="E74" s="29">
        <f>Sheet1!T93</f>
        <v>1.4399922915240957</v>
      </c>
    </row>
    <row r="75" spans="1:5" ht="12.75">
      <c r="A75" s="93" t="str">
        <f>Sheet1!B94</f>
        <v>   02/06</v>
      </c>
      <c r="B75" s="29">
        <f>Sheet1!L94</f>
        <v>0.8522496028284071</v>
      </c>
      <c r="C75" s="29">
        <f>Sheet1!N94</f>
        <v>2.2723827591859</v>
      </c>
      <c r="D75" s="29">
        <f>Sheet1!P94</f>
        <v>1.4600927379509006</v>
      </c>
      <c r="E75" s="29">
        <f>Sheet1!T94</f>
        <v>1.443235909154501</v>
      </c>
    </row>
    <row r="76" spans="1:5" ht="12.75">
      <c r="A76" s="93" t="str">
        <f>Sheet1!B95</f>
        <v>   03/06</v>
      </c>
      <c r="B76" s="29">
        <f>Sheet1!L95</f>
        <v>0.8623499936507357</v>
      </c>
      <c r="C76" s="29">
        <f>Sheet1!N95</f>
        <v>2.3312362540132967</v>
      </c>
      <c r="D76" s="29">
        <f>Sheet1!P95</f>
        <v>1.4862937008675836</v>
      </c>
      <c r="E76" s="29">
        <f>Sheet1!T95</f>
        <v>1.4606183903538272</v>
      </c>
    </row>
    <row r="77" spans="1:5" ht="12.75">
      <c r="A77" s="93" t="str">
        <f>Sheet1!B96</f>
        <v>   04/06</v>
      </c>
      <c r="B77" s="29">
        <f>Sheet1!L96</f>
        <v>0.8503506139763577</v>
      </c>
      <c r="C77" s="29">
        <f>Sheet1!N96</f>
        <v>2.3498096327023963</v>
      </c>
      <c r="D77" s="29">
        <f>Sheet1!P96</f>
        <v>1.547641481524349</v>
      </c>
      <c r="E77" s="29">
        <f>Sheet1!T96</f>
        <v>1.4734554376416606</v>
      </c>
    </row>
    <row r="78" spans="1:5" ht="12.75">
      <c r="A78" s="93"/>
      <c r="B78" s="29">
        <f>Sheet1!L99</f>
        <v>0.8254762514128953</v>
      </c>
      <c r="C78" s="29">
        <f>Sheet1!N99</f>
        <v>2.2399556764840907</v>
      </c>
      <c r="D78" s="29">
        <f>Sheet1!P99</f>
        <v>1.5006637344035416</v>
      </c>
      <c r="E78" s="29">
        <f>Sheet1!T99</f>
        <v>1.4311574423158833</v>
      </c>
    </row>
    <row r="79" spans="1:5" ht="12.75">
      <c r="A79" s="93" t="str">
        <f>Sheet1!B100</f>
        <v>   06/06</v>
      </c>
      <c r="B79" s="29">
        <f>Sheet1!L100</f>
        <v>0.8264726492604972</v>
      </c>
      <c r="C79" s="29">
        <f>Sheet1!N100</f>
        <v>2.236747906443099</v>
      </c>
      <c r="D79" s="29">
        <f>Sheet1!P100</f>
        <v>1.4897678393266083</v>
      </c>
      <c r="E79" s="29">
        <f>Sheet1!T100</f>
        <v>1.4286431750750965</v>
      </c>
    </row>
    <row r="80" spans="1:5" ht="12.75">
      <c r="A80" s="93" t="str">
        <f>Sheet1!B101</f>
        <v>   07/06</v>
      </c>
      <c r="B80" s="29">
        <f>Sheet1!L101</f>
        <v>0.7716928572671231</v>
      </c>
      <c r="C80" s="29">
        <f>Sheet1!N101</f>
        <v>2.203324848545886</v>
      </c>
      <c r="D80" s="29">
        <f>Sheet1!P101</f>
        <v>1.4982053120754804</v>
      </c>
      <c r="E80" s="29">
        <f>Sheet1!T101</f>
        <v>1.4068420926934184</v>
      </c>
    </row>
    <row r="81" spans="1:5" ht="12.75">
      <c r="A81" s="93" t="str">
        <f>Sheet1!B102</f>
        <v>   08/06</v>
      </c>
      <c r="B81" s="29">
        <f>Sheet1!L102</f>
        <v>0.7764217823590993</v>
      </c>
      <c r="C81" s="29">
        <f>Sheet1!N102</f>
        <v>2.2088380166985777</v>
      </c>
      <c r="D81" s="29">
        <f>Sheet1!P102</f>
        <v>1.529900842247963</v>
      </c>
      <c r="E81" s="29">
        <f>Sheet1!T102</f>
        <v>1.422527045903069</v>
      </c>
    </row>
    <row r="82" spans="1:5" ht="12.75">
      <c r="A82" s="93" t="str">
        <f>Sheet1!B103</f>
        <v>   09/06</v>
      </c>
      <c r="B82" s="29">
        <f>Sheet1!L103</f>
        <v>0.7735990210950703</v>
      </c>
      <c r="C82" s="29">
        <f>Sheet1!N103</f>
        <v>2.2453654908831986</v>
      </c>
      <c r="D82" s="29">
        <f>Sheet1!P103</f>
        <v>1.5462088599161699</v>
      </c>
      <c r="E82" s="29">
        <f>Sheet1!T103</f>
        <v>1.4347809526576039</v>
      </c>
    </row>
    <row r="83" spans="1:5" ht="12.75">
      <c r="A83" s="93" t="str">
        <f>Sheet1!B104</f>
        <v>   10/06</v>
      </c>
      <c r="B83" s="29">
        <f>Sheet1!L104</f>
        <v>0.7877483547385945</v>
      </c>
      <c r="C83" s="29">
        <f>Sheet1!N104</f>
        <v>2.310390666504668</v>
      </c>
      <c r="D83" s="29">
        <f>Sheet1!P104</f>
        <v>1.5781418224738983</v>
      </c>
      <c r="E83" s="29">
        <f>Sheet1!T104</f>
        <v>1.4628096769412133</v>
      </c>
    </row>
    <row r="84" spans="1:5" ht="12.75">
      <c r="A84" s="93" t="str">
        <f>Sheet1!B105</f>
        <v>   11/06</v>
      </c>
      <c r="B84" s="29">
        <f>Sheet1!L105</f>
        <v>0.8143131835454326</v>
      </c>
      <c r="C84" s="29">
        <f>Sheet1!N105</f>
        <v>2.362384148522782</v>
      </c>
      <c r="D84" s="29">
        <f>Sheet1!P105</f>
        <v>1.6087966575283221</v>
      </c>
      <c r="E84" s="29">
        <f>Sheet1!T105</f>
        <v>1.4947318217729815</v>
      </c>
    </row>
    <row r="85" spans="1:5" ht="12.75">
      <c r="A85" s="93" t="str">
        <f>Sheet1!B106</f>
        <v>   12/06</v>
      </c>
      <c r="B85" s="29">
        <f>Sheet1!L106</f>
        <v>0.8221138239133877</v>
      </c>
      <c r="C85" s="29">
        <f>Sheet1!N106</f>
        <v>2.36765527175513</v>
      </c>
      <c r="D85" s="29">
        <f>Sheet1!P106</f>
        <v>1.6208196979459926</v>
      </c>
      <c r="E85" s="29">
        <f>Sheet1!T106</f>
        <v>1.499149381610445</v>
      </c>
    </row>
    <row r="86" spans="1:5" ht="12.75">
      <c r="A86" s="93" t="str">
        <f>Sheet1!B107</f>
        <v>   01/2007</v>
      </c>
      <c r="B86" s="29">
        <f>Sheet1!L107</f>
        <v>0.8180986170362965</v>
      </c>
      <c r="C86" s="29">
        <f>Sheet1!N107</f>
        <v>2.423916932508012</v>
      </c>
      <c r="D86" s="29">
        <f>Sheet1!P107</f>
        <v>1.6448833071362403</v>
      </c>
      <c r="E86" s="29">
        <f>Sheet1!T107</f>
        <v>1.5136427733739415</v>
      </c>
    </row>
    <row r="87" spans="1:5" ht="12.75">
      <c r="A87" s="93" t="str">
        <f>Sheet1!B108</f>
        <v>   02/07</v>
      </c>
      <c r="B87" s="29">
        <f>Sheet1!L108</f>
        <v>0.8249961539700236</v>
      </c>
      <c r="C87" s="29">
        <f>Sheet1!N108</f>
        <v>2.4302046198659344</v>
      </c>
      <c r="D87" s="29">
        <f>Sheet1!P108</f>
        <v>1.6392717877491687</v>
      </c>
      <c r="E87" s="29">
        <f>Sheet1!T108</f>
        <v>1.5216173271879199</v>
      </c>
    </row>
    <row r="88" spans="1:5" ht="12.75">
      <c r="A88" s="93" t="str">
        <f>Sheet1!B109</f>
        <v>   03/07</v>
      </c>
      <c r="B88" s="29">
        <f>Sheet1!L109</f>
        <v>0.83421525979016</v>
      </c>
      <c r="C88" s="29">
        <f>Sheet1!N109</f>
        <v>2.431863596895167</v>
      </c>
      <c r="D88" s="29">
        <f>Sheet1!P109</f>
        <v>1.6627494042802136</v>
      </c>
      <c r="E88" s="29">
        <f>Sheet1!T109</f>
        <v>1.5323178207503116</v>
      </c>
    </row>
    <row r="89" spans="1:5" ht="12.75">
      <c r="A89" s="93" t="str">
        <f>Sheet1!B110</f>
        <v>   04/07</v>
      </c>
      <c r="B89" s="29">
        <f>Sheet1!L110</f>
        <v>0.8520832700892292</v>
      </c>
      <c r="C89" s="29">
        <f>Sheet1!N110</f>
        <v>2.4286573810459586</v>
      </c>
      <c r="D89" s="29">
        <f>Sheet1!P110</f>
        <v>1.7152614394139694</v>
      </c>
      <c r="E89" s="29">
        <f>Sheet1!T110</f>
        <v>1.5536015922317539</v>
      </c>
    </row>
    <row r="90" spans="1:5" ht="12.75">
      <c r="A90" s="93" t="str">
        <f>Sheet1!B113</f>
        <v>   05/07</v>
      </c>
      <c r="B90" s="29">
        <f>Sheet1!L113</f>
        <v>0.8903486186288563</v>
      </c>
      <c r="C90" s="29">
        <f>Sheet1!N113</f>
        <v>2.485374902526721</v>
      </c>
      <c r="D90" s="29">
        <f>Sheet1!P113</f>
        <v>1.781413110215467</v>
      </c>
      <c r="E90" s="29">
        <f>Sheet1!T113</f>
        <v>1.5935172441583925</v>
      </c>
    </row>
    <row r="91" spans="1:5" ht="12.75">
      <c r="A91" s="93" t="str">
        <f>Sheet1!B114</f>
        <v>   06/07</v>
      </c>
      <c r="B91" s="29">
        <f>Sheet1!L114</f>
        <v>0.882891493162479</v>
      </c>
      <c r="C91" s="29">
        <f>Sheet1!N114</f>
        <v>2.504823341908304</v>
      </c>
      <c r="D91" s="29">
        <f>Sheet1!P114</f>
        <v>1.7680005471829383</v>
      </c>
      <c r="E91" s="29">
        <f>Sheet1!T114</f>
        <v>1.5899468726065527</v>
      </c>
    </row>
    <row r="92" spans="1:5" ht="12.75">
      <c r="A92" s="93" t="str">
        <f>Sheet1!B115</f>
        <v>   07/07</v>
      </c>
      <c r="B92" s="29">
        <f>Sheet1!L115</f>
        <v>0.8583396564106966</v>
      </c>
      <c r="C92" s="29">
        <f>Sheet1!N115</f>
        <v>2.414911676500298</v>
      </c>
      <c r="D92" s="29">
        <f>Sheet1!P115</f>
        <v>1.726693732384287</v>
      </c>
      <c r="E92" s="29">
        <f>Sheet1!T115</f>
        <v>1.553996675795038</v>
      </c>
    </row>
    <row r="93" spans="1:5" ht="12.75">
      <c r="A93" s="93" t="str">
        <f>Sheet1!B116</f>
        <v>   08/07</v>
      </c>
      <c r="B93" s="29">
        <f>Sheet1!L116</f>
        <v>0.868830706940856</v>
      </c>
      <c r="C93" s="29">
        <f>Sheet1!N116</f>
        <v>2.3346947162854206</v>
      </c>
      <c r="D93" s="29">
        <f>Sheet1!P116</f>
        <v>1.748996354246993</v>
      </c>
      <c r="E93" s="29">
        <f>Sheet1!T116</f>
        <v>1.5532257920834136</v>
      </c>
    </row>
    <row r="94" spans="1:5" ht="12.75">
      <c r="A94" s="93" t="str">
        <f>Sheet1!B117</f>
        <v>   09/07</v>
      </c>
      <c r="B94" s="29">
        <f>Sheet1!L117</f>
        <v>0.8972194940168902</v>
      </c>
      <c r="C94" s="29">
        <f>Sheet1!N117</f>
        <v>2.4317106569056315</v>
      </c>
      <c r="D94" s="29">
        <f>Sheet1!P117</f>
        <v>1.7709911201068835</v>
      </c>
      <c r="E94" s="29">
        <f>Sheet1!T117</f>
        <v>1.591631481906136</v>
      </c>
    </row>
    <row r="95" spans="1:5" ht="12.75">
      <c r="A95" s="93" t="str">
        <f>Sheet1!B118</f>
        <v>   10/07</v>
      </c>
      <c r="B95" s="29">
        <f>Sheet1!L118</f>
        <v>0.9667548944497305</v>
      </c>
      <c r="C95" s="29">
        <f>Sheet1!N118</f>
        <v>2.4738335929713924</v>
      </c>
      <c r="D95" s="29">
        <f>Sheet1!P118</f>
        <v>1.8326431567623283</v>
      </c>
      <c r="E95" s="29">
        <f>Sheet1!T118</f>
        <v>1.6452731988940017</v>
      </c>
    </row>
    <row r="96" spans="1:5" ht="12.75">
      <c r="A96" s="93" t="str">
        <f>Sheet1!B119</f>
        <v>   11/07</v>
      </c>
      <c r="B96" s="29">
        <f>Sheet1!L119</f>
        <v>0.9467852331453512</v>
      </c>
      <c r="C96" s="29">
        <f>Sheet1!N119</f>
        <v>2.2141863980217105</v>
      </c>
      <c r="D96" s="29">
        <f>Sheet1!P119</f>
        <v>1.7963839677036941</v>
      </c>
      <c r="E96" s="29">
        <f>Sheet1!T119</f>
        <v>1.586020397480598</v>
      </c>
    </row>
    <row r="97" spans="1:5" ht="12.75">
      <c r="A97" s="93" t="str">
        <f>Sheet1!B120</f>
        <v>   12/07</v>
      </c>
      <c r="B97" s="29">
        <f>Sheet1!L120</f>
        <v>0.969467120012463</v>
      </c>
      <c r="C97" s="29">
        <f>Sheet1!N120</f>
        <v>2.1369092195514927</v>
      </c>
      <c r="D97" s="29">
        <f>Sheet1!P120</f>
        <v>1.7997443171431167</v>
      </c>
      <c r="E97" s="29">
        <f>Sheet1!T120</f>
        <v>1.5810133519251486</v>
      </c>
    </row>
    <row r="98" spans="1:5" ht="12.75">
      <c r="A98" s="93" t="str">
        <f>Sheet1!B121</f>
        <v>   01/2008</v>
      </c>
      <c r="B98" s="29">
        <f>Sheet1!L121</f>
        <v>0.8581483574925782</v>
      </c>
      <c r="C98" s="29">
        <f>Sheet1!N121</f>
        <v>2.0700688066204713</v>
      </c>
      <c r="D98" s="29">
        <f>Sheet1!P121</f>
        <v>1.7555332029182054</v>
      </c>
      <c r="E98" s="29">
        <f>Sheet1!T121</f>
        <v>1.5218668119008927</v>
      </c>
    </row>
    <row r="99" spans="1:5" ht="12.75">
      <c r="A99" s="93" t="str">
        <f>Sheet1!B122</f>
        <v>   02/08</v>
      </c>
      <c r="B99" s="29">
        <f>Sheet1!L122</f>
        <v>0.8233356248714594</v>
      </c>
      <c r="C99" s="29">
        <f>Sheet1!N122</f>
        <v>2.0546554360821054</v>
      </c>
      <c r="D99" s="29">
        <f>Sheet1!P122</f>
        <v>1.7220322612836394</v>
      </c>
      <c r="E99" s="29">
        <f>Sheet1!T122</f>
        <v>1.498808829375351</v>
      </c>
    </row>
    <row r="100" spans="1:5" ht="12.75">
      <c r="A100" s="93" t="str">
        <f>Sheet1!B123</f>
        <v>   03/08</v>
      </c>
      <c r="B100" s="29">
        <f>Sheet1!L123</f>
        <v>0.8116133860287962</v>
      </c>
      <c r="C100" s="29">
        <f>Sheet1!N123</f>
        <v>2.0185851032811706</v>
      </c>
      <c r="D100" s="29">
        <f>Sheet1!P123</f>
        <v>1.6518326893789705</v>
      </c>
      <c r="E100" s="29">
        <f>Sheet1!T123</f>
        <v>1.4711608935347744</v>
      </c>
    </row>
    <row r="101" spans="1:5" ht="12.75">
      <c r="A101" s="93" t="str">
        <f>Sheet1!B124</f>
        <v>   04/08</v>
      </c>
      <c r="B101" s="29">
        <f>Sheet1!L124</f>
        <v>0.850344964013386</v>
      </c>
      <c r="C101" s="29">
        <f>Sheet1!N124</f>
        <v>2.105613863168314</v>
      </c>
      <c r="D101" s="29">
        <f>Sheet1!P124</f>
        <v>1.7666726668967625</v>
      </c>
      <c r="E101" s="29">
        <f>Sheet1!T124</f>
        <v>1.5289338616903552</v>
      </c>
    </row>
    <row r="102" spans="1:5" ht="12.75">
      <c r="A102" s="93" t="str">
        <f>Sheet1!B127</f>
        <v>   05/08</v>
      </c>
      <c r="B102" s="29">
        <f>Sheet1!L127</f>
        <v>0.8769630999116498</v>
      </c>
      <c r="C102" s="29">
        <f>Sheet1!N127</f>
        <v>2.08470285560114</v>
      </c>
      <c r="D102" s="29">
        <f>Sheet1!P127</f>
        <v>1.832688388405225</v>
      </c>
      <c r="E102" s="29">
        <f>Sheet1!T127</f>
        <v>1.5475156211277834</v>
      </c>
    </row>
    <row r="103" spans="1:5" ht="12.75">
      <c r="A103" s="93" t="str">
        <f>Sheet1!B128</f>
        <v>   06/08</v>
      </c>
      <c r="B103" s="29">
        <f>Sheet1!L128</f>
        <v>0.8292727999839861</v>
      </c>
      <c r="C103" s="29">
        <f>Sheet1!N128</f>
        <v>1.9276542225963378</v>
      </c>
      <c r="D103" s="29">
        <f>Sheet1!P128</f>
        <v>1.7464002545163408</v>
      </c>
      <c r="E103" s="29">
        <f>Sheet1!T128</f>
        <v>1.4753863976217</v>
      </c>
    </row>
    <row r="104" spans="1:5" ht="12.75">
      <c r="A104" s="93" t="str">
        <f>Sheet1!B129</f>
        <v>   07/08</v>
      </c>
      <c r="B104" s="29">
        <f>Sheet1!L129</f>
        <v>0.7838100941698792</v>
      </c>
      <c r="C104" s="29">
        <f>Sheet1!N129</f>
        <v>1.8896519363159452</v>
      </c>
      <c r="D104" s="29">
        <f>Sheet1!P129</f>
        <v>1.7143973303626903</v>
      </c>
      <c r="E104" s="29">
        <f>Sheet1!T129</f>
        <v>1.4419569452903978</v>
      </c>
    </row>
    <row r="105" spans="1:5" ht="12.75">
      <c r="A105" s="93" t="str">
        <f>Sheet1!B130</f>
        <v>   08/08</v>
      </c>
      <c r="B105" s="29">
        <f>Sheet1!L130</f>
        <v>0.7844363086978852</v>
      </c>
      <c r="C105" s="29">
        <f>Sheet1!N130</f>
        <v>1.9315005426674523</v>
      </c>
      <c r="D105" s="29">
        <f>Sheet1!P130</f>
        <v>1.7237853350755328</v>
      </c>
      <c r="E105" s="29">
        <f>Sheet1!T130</f>
        <v>1.4543746487673166</v>
      </c>
    </row>
    <row r="106" spans="1:5" ht="12.75">
      <c r="A106" s="93" t="str">
        <f>Sheet1!B131</f>
        <v>   09/08</v>
      </c>
      <c r="B106" s="29">
        <f>Sheet1!L131</f>
        <v>0.73145214000116</v>
      </c>
      <c r="C106" s="29">
        <f>Sheet1!N131</f>
        <v>1.8207656245621222</v>
      </c>
      <c r="D106" s="29">
        <f>Sheet1!P131</f>
        <v>1.5754126919593812</v>
      </c>
      <c r="E106" s="29">
        <f>Sheet1!T131</f>
        <v>1.3652118536486908</v>
      </c>
    </row>
    <row r="107" spans="1:5" ht="12.75">
      <c r="A107" s="93" t="str">
        <f>Sheet1!B132</f>
        <v>   10/08</v>
      </c>
      <c r="B107" s="29">
        <f>Sheet1!L132</f>
        <v>0.6786157015797537</v>
      </c>
      <c r="C107" s="29">
        <f>Sheet1!N132</f>
        <v>1.584331942680447</v>
      </c>
      <c r="D107" s="29">
        <f>Sheet1!P132</f>
        <v>1.3820800298817189</v>
      </c>
      <c r="E107" s="29">
        <f>Sheet1!T132</f>
        <v>1.2471278209071466</v>
      </c>
    </row>
    <row r="108" spans="1:5" ht="12.75">
      <c r="A108" s="93" t="str">
        <f>Sheet1!B133</f>
        <v>   11/08</v>
      </c>
      <c r="B108" s="29">
        <f>Sheet1!L133</f>
        <v>0.6450543915792297</v>
      </c>
      <c r="C108" s="29">
        <f>Sheet1!N133</f>
        <v>1.4124273212374943</v>
      </c>
      <c r="D108" s="29">
        <f>Sheet1!P133</f>
        <v>1.3278104804185946</v>
      </c>
      <c r="E108" s="29">
        <f>Sheet1!T133</f>
        <v>1.193393845481296</v>
      </c>
    </row>
    <row r="109" spans="1:5" ht="12.75">
      <c r="A109" s="93" t="str">
        <f>Sheet1!B134</f>
        <v>   12/08</v>
      </c>
      <c r="B109" s="29">
        <f>Sheet1!L134</f>
        <v>0.645921373258191</v>
      </c>
      <c r="C109" s="29">
        <f>Sheet1!N134</f>
        <v>1.4516585016251675</v>
      </c>
      <c r="D109" s="29">
        <f>Sheet1!P134</f>
        <v>1.3733814919833032</v>
      </c>
      <c r="E109" s="29">
        <f>Sheet1!T134</f>
        <v>1.2217507581296008</v>
      </c>
    </row>
    <row r="110" spans="1:5" ht="12.75">
      <c r="A110" s="93" t="str">
        <f>Sheet1!B135</f>
        <v>   01/2009</v>
      </c>
      <c r="B110" s="29">
        <f>Sheet1!L135</f>
        <v>0.607230004955409</v>
      </c>
      <c r="C110" s="29">
        <f>Sheet1!N135</f>
        <v>1.3337151025118001</v>
      </c>
      <c r="D110" s="29">
        <f>Sheet1!P135</f>
        <v>1.3091351738022974</v>
      </c>
      <c r="E110" s="29">
        <f>Sheet1!T135</f>
        <v>1.1694915294907784</v>
      </c>
    </row>
    <row r="111" spans="1:5" ht="12.75">
      <c r="A111" s="93" t="str">
        <f>Sheet1!B136</f>
        <v>   02/09</v>
      </c>
      <c r="B111" s="29">
        <f>Sheet1!L136</f>
        <v>0.5844652674959696</v>
      </c>
      <c r="C111" s="29">
        <f>Sheet1!N136</f>
        <v>1.2877389332668778</v>
      </c>
      <c r="D111" s="29">
        <f>Sheet1!P136</f>
        <v>1.250514004620642</v>
      </c>
      <c r="E111" s="29">
        <f>Sheet1!T136</f>
        <v>1.1327163575427814</v>
      </c>
    </row>
    <row r="112" spans="1:5" ht="12.75">
      <c r="A112" s="93" t="str">
        <f>Sheet1!B137</f>
        <v>   03/09</v>
      </c>
      <c r="B112" s="29">
        <f>Sheet1!L137</f>
        <v>0.6215679543773152</v>
      </c>
      <c r="C112" s="29">
        <f>Sheet1!N137</f>
        <v>1.3106539146537308</v>
      </c>
      <c r="D112" s="29">
        <f>Sheet1!P137</f>
        <v>1.285987390268149</v>
      </c>
      <c r="E112" s="29">
        <f>Sheet1!T137</f>
        <v>1.1702385264229502</v>
      </c>
    </row>
    <row r="113" spans="1:5" ht="12.75">
      <c r="A113" s="93" t="str">
        <f>Sheet1!B138</f>
        <v>   04/09</v>
      </c>
      <c r="B113" s="29">
        <f>Sheet1!L138</f>
        <v>0.6505085020500171</v>
      </c>
      <c r="C113" s="29">
        <f>Sheet1!N138</f>
        <v>1.3797215260497149</v>
      </c>
      <c r="D113" s="29">
        <f>Sheet1!P138</f>
        <v>1.3249915622987607</v>
      </c>
      <c r="E113" s="29">
        <f>Sheet1!T138</f>
        <v>1.2034371473708012</v>
      </c>
    </row>
    <row r="114" spans="1:5" ht="12.75">
      <c r="A114" s="93" t="str">
        <f>Sheet1!B141</f>
        <v>   05/09</v>
      </c>
      <c r="B114" s="29">
        <f>Sheet1!L141</f>
        <v>0.672376399089661</v>
      </c>
      <c r="C114" s="29">
        <f>Sheet1!N141</f>
        <v>1.4916118339877311</v>
      </c>
      <c r="D114" s="29">
        <f>Sheet1!P141</f>
        <v>1.3925702981767025</v>
      </c>
      <c r="E114" s="29">
        <f>Sheet1!T141</f>
        <v>1.2543646186064363</v>
      </c>
    </row>
    <row r="115" spans="1:5" ht="12.75">
      <c r="A115" s="93" t="str">
        <f>Sheet1!B142</f>
        <v>   06/09</v>
      </c>
      <c r="B115" s="29">
        <f>Sheet1!L142</f>
        <v>0.6684902847752654</v>
      </c>
      <c r="C115" s="29">
        <f>Sheet1!N142</f>
        <v>1.47083784596038</v>
      </c>
      <c r="D115" s="29">
        <f>Sheet1!P142</f>
        <v>1.4158930796531966</v>
      </c>
      <c r="E115" s="29">
        <f>Sheet1!T142</f>
        <v>1.2574715248414579</v>
      </c>
    </row>
    <row r="116" spans="1:5" ht="12.75">
      <c r="A116" s="93" t="str">
        <f>Sheet1!B143</f>
        <v>   07/09</v>
      </c>
      <c r="B116" s="29">
        <f>Sheet1!L143</f>
        <v>0.6822083550341121</v>
      </c>
      <c r="C116" s="29">
        <f>Sheet1!N143</f>
        <v>1.4863376926911593</v>
      </c>
      <c r="D116" s="29">
        <f>Sheet1!P143</f>
        <v>1.4725941534684224</v>
      </c>
      <c r="E116" s="29">
        <f>Sheet1!T143</f>
        <v>1.2868707068990586</v>
      </c>
    </row>
    <row r="117" spans="1:5" ht="12.75">
      <c r="A117" s="93" t="str">
        <f>Sheet1!B144</f>
        <v>   08/09</v>
      </c>
      <c r="B117" s="29">
        <f>Sheet1!L144</f>
        <v>0.6884253665281779</v>
      </c>
      <c r="C117" s="29">
        <f>Sheet1!N144</f>
        <v>1.464085091492837</v>
      </c>
      <c r="D117" s="29">
        <f>Sheet1!P144</f>
        <v>1.4972801988300648</v>
      </c>
      <c r="E117" s="29">
        <f>Sheet1!T144</f>
        <v>1.2957650289504055</v>
      </c>
    </row>
    <row r="118" spans="1:5" ht="12.75">
      <c r="A118" s="93" t="str">
        <f>Sheet1!B145</f>
        <v>   09/09</v>
      </c>
      <c r="B118" s="29">
        <f>Sheet1!L145</f>
        <v>0.687818808093212</v>
      </c>
      <c r="C118" s="29">
        <f>Sheet1!N145</f>
        <v>1.4819454395532683</v>
      </c>
      <c r="D118" s="29">
        <f>Sheet1!P145</f>
        <v>1.5594270251811428</v>
      </c>
      <c r="E118" s="29">
        <f>Sheet1!T145</f>
        <v>1.3200784112644415</v>
      </c>
    </row>
    <row r="119" spans="1:5" ht="12.75">
      <c r="A119" s="93" t="str">
        <f>Sheet1!B146</f>
        <v>   10/09</v>
      </c>
      <c r="B119" s="29">
        <f>Sheet1!L146</f>
        <v>0.6635970459345966</v>
      </c>
      <c r="C119" s="29">
        <f>Sheet1!N146</f>
        <v>1.419331760124658</v>
      </c>
      <c r="D119" s="29">
        <f>Sheet1!P146</f>
        <v>1.520474142222906</v>
      </c>
      <c r="E119" s="29">
        <f>Sheet1!T146</f>
        <v>1.291937951637323</v>
      </c>
    </row>
    <row r="120" spans="1:5" ht="12.75">
      <c r="A120" s="93" t="str">
        <f>Sheet1!B147</f>
        <v>   11/09</v>
      </c>
      <c r="B120" s="29">
        <f>Sheet1!L147</f>
        <v>0.6902338411492035</v>
      </c>
      <c r="C120" s="29">
        <f>Sheet1!N147</f>
        <v>1.456850892752169</v>
      </c>
      <c r="D120" s="29">
        <f>Sheet1!P147</f>
        <v>1.581147868950854</v>
      </c>
      <c r="E120" s="29">
        <f>Sheet1!T147</f>
        <v>1.330477364398076</v>
      </c>
    </row>
    <row r="121" spans="1:5" ht="12.75">
      <c r="A121" s="93" t="str">
        <f>Sheet1!B148</f>
        <v>   12/09</v>
      </c>
      <c r="B121" s="29">
        <f>Sheet1!L148</f>
        <v>0.7098725406037877</v>
      </c>
      <c r="C121" s="29">
        <f>Sheet1!N148</f>
        <v>1.5603109880205221</v>
      </c>
      <c r="D121" s="29">
        <f>Sheet1!P148</f>
        <v>1.6092188751769714</v>
      </c>
      <c r="E121" s="29">
        <f>Sheet1!T148</f>
        <v>1.354500121813491</v>
      </c>
    </row>
    <row r="122" spans="1:5" ht="12.75">
      <c r="A122" s="93" t="str">
        <f>Sheet1!B149</f>
        <v>   01/2010</v>
      </c>
      <c r="B122" s="29">
        <f>Sheet1!L149</f>
        <v>0.6832188571985179</v>
      </c>
      <c r="C122" s="29">
        <f>Sheet1!N149</f>
        <v>1.49254523763323</v>
      </c>
      <c r="D122" s="29">
        <f>Sheet1!P149</f>
        <v>1.5572753637840986</v>
      </c>
      <c r="E122" s="29">
        <f>Sheet1!T149</f>
        <v>1.323796983468515</v>
      </c>
    </row>
    <row r="123" spans="1:5" ht="12.75">
      <c r="A123" s="93" t="str">
        <f>Sheet1!B150</f>
        <v>   02/10</v>
      </c>
      <c r="B123" s="29">
        <f>Sheet1!L150</f>
        <v>0.7045337803978278</v>
      </c>
      <c r="C123" s="29">
        <f>Sheet1!N150</f>
        <v>1.5512591234901072</v>
      </c>
      <c r="D123" s="29">
        <f>Sheet1!P150</f>
        <v>1.598836654769272</v>
      </c>
      <c r="E123" s="29">
        <f>Sheet1!T150</f>
        <v>1.3550632815771972</v>
      </c>
    </row>
    <row r="124" spans="1:5" ht="12.75">
      <c r="A124" s="93" t="str">
        <f>Sheet1!B151</f>
        <v>   03/10</v>
      </c>
      <c r="B124" s="29">
        <f>Sheet1!L151</f>
        <v>0.726412660209206</v>
      </c>
      <c r="C124" s="29">
        <f>Sheet1!N151</f>
        <v>1.6406910056810833</v>
      </c>
      <c r="D124" s="29">
        <f>Sheet1!P151</f>
        <v>1.7004105870531598</v>
      </c>
      <c r="E124" s="29">
        <f>Sheet1!T151</f>
        <v>1.4061075133639163</v>
      </c>
    </row>
    <row r="125" spans="1:5" ht="12.75">
      <c r="A125" s="93" t="str">
        <f>Sheet1!B152</f>
        <v>   04/10</v>
      </c>
      <c r="B125" s="29">
        <f>Sheet1!L152</f>
        <v>0.7476897538614313</v>
      </c>
      <c r="C125" s="29">
        <f>Sheet1!N152</f>
        <v>1.7464053901647907</v>
      </c>
      <c r="D125" s="29">
        <f>Sheet1!P152</f>
        <v>1.7218502106402784</v>
      </c>
      <c r="E125" s="29">
        <f>Sheet1!T152</f>
        <v>1.4421027410007468</v>
      </c>
    </row>
    <row r="126" spans="1:5" ht="12.75">
      <c r="A126" s="93" t="str">
        <f>Sheet1!B157</f>
        <v>   05/10</v>
      </c>
      <c r="B126" s="29">
        <f>Sheet1!L157</f>
        <v>0.6829955741103442</v>
      </c>
      <c r="C126" s="29">
        <f>Sheet1!N157</f>
        <v>1.6357663273512177</v>
      </c>
      <c r="D126" s="29">
        <f>Sheet1!P157</f>
        <v>1.5984478054689224</v>
      </c>
      <c r="E126" s="29">
        <f>Sheet1!T157</f>
        <v>1.3657098396795468</v>
      </c>
    </row>
    <row r="127" spans="1:5" ht="12.75">
      <c r="A127" s="93" t="str">
        <f>Sheet1!B158</f>
        <v>   06/10</v>
      </c>
      <c r="B127" s="29">
        <f>Sheet1!L158</f>
        <v>0.676159744394508</v>
      </c>
      <c r="C127" s="29">
        <f>Sheet1!N158</f>
        <v>1.6133046068704802</v>
      </c>
      <c r="D127" s="29">
        <f>Sheet1!P158</f>
        <v>1.5166065036463139</v>
      </c>
      <c r="E127" s="29">
        <f>Sheet1!T158</f>
        <v>1.343435629731562</v>
      </c>
    </row>
    <row r="128" spans="1:5" ht="12.75">
      <c r="A128" s="93" t="str">
        <f>Sheet1!B159</f>
        <v>   07/10</v>
      </c>
      <c r="B128" s="29">
        <f>Sheet1!L159</f>
        <v>0.6997796216254064</v>
      </c>
      <c r="C128" s="29">
        <f>Sheet1!N159</f>
        <v>1.6660253977974195</v>
      </c>
      <c r="D128" s="29">
        <f>Sheet1!P159</f>
        <v>1.6093164840979395</v>
      </c>
      <c r="E128" s="29">
        <f>Sheet1!T159</f>
        <v>1.3917580632302755</v>
      </c>
    </row>
    <row r="129" spans="1:5" ht="12.75">
      <c r="A129" s="93" t="str">
        <f>Sheet1!B160</f>
        <v>   08/10</v>
      </c>
      <c r="B129" s="29">
        <f>Sheet1!L160</f>
        <v>0.683524986854959</v>
      </c>
      <c r="C129" s="29">
        <f>Sheet1!N160</f>
        <v>1.6298314455842695</v>
      </c>
      <c r="D129" s="29">
        <f>Sheet1!P160</f>
        <v>1.550973172742201</v>
      </c>
      <c r="E129" s="29">
        <f>Sheet1!T160</f>
        <v>1.3661811094759255</v>
      </c>
    </row>
    <row r="130" spans="1:5" ht="12.75">
      <c r="A130" s="93" t="str">
        <f>Sheet1!B161</f>
        <v>   09/10</v>
      </c>
      <c r="B130" s="29">
        <f>Sheet1!L161</f>
        <v>0.7284646686531793</v>
      </c>
      <c r="C130" s="29">
        <f>Sheet1!N161</f>
        <v>1.7400792180761329</v>
      </c>
      <c r="D130" s="29">
        <f>Sheet1!P161</f>
        <v>1.6658271564029712</v>
      </c>
      <c r="E130" s="29">
        <f>Sheet1!T161</f>
        <v>1.4418351528722397</v>
      </c>
    </row>
    <row r="131" spans="1:5" ht="12.75">
      <c r="A131" s="93" t="str">
        <f>Sheet1!B162</f>
        <v>   10/10</v>
      </c>
      <c r="B131" s="29">
        <f>Sheet1!L162</f>
        <v>0.7419795205847055</v>
      </c>
      <c r="C131" s="29">
        <f>Sheet1!N162</f>
        <v>1.7767729489784136</v>
      </c>
      <c r="D131" s="29">
        <f>Sheet1!P162</f>
        <v>1.6997621687620421</v>
      </c>
      <c r="E131" s="29">
        <f>Sheet1!T162</f>
        <v>1.4656697355757864</v>
      </c>
    </row>
    <row r="132" spans="1:5" ht="12.75">
      <c r="A132" s="93" t="str">
        <f>Sheet1!B163</f>
        <v>   11/10</v>
      </c>
      <c r="B132" s="29">
        <f>Sheet1!L163</f>
        <v>0.7492259710881327</v>
      </c>
      <c r="C132" s="29">
        <f>Sheet1!N163</f>
        <v>1.8534308026709898</v>
      </c>
      <c r="D132" s="29">
        <f>Sheet1!P163</f>
        <v>1.7136807760942592</v>
      </c>
      <c r="E132" s="29">
        <f>Sheet1!T163</f>
        <v>1.4880434990431974</v>
      </c>
    </row>
    <row r="133" spans="1:5" ht="12.75">
      <c r="A133" s="93" t="str">
        <f>Sheet1!B164</f>
        <v>   12/10</v>
      </c>
      <c r="B133" s="29">
        <f>Sheet1!L164</f>
        <v>0.7722551344085927</v>
      </c>
      <c r="C133" s="29">
        <f>Sheet1!N164</f>
        <v>1.949292611192651</v>
      </c>
      <c r="D133" s="29">
        <f>Sheet1!P164</f>
        <v>1.843289231749004</v>
      </c>
      <c r="E133" s="29">
        <f>Sheet1!T164</f>
        <v>1.5493956473155195</v>
      </c>
    </row>
    <row r="134" spans="1:5" ht="12.75">
      <c r="A134" s="93" t="str">
        <f>Sheet1!B165</f>
        <v>   01/2011</v>
      </c>
      <c r="B134" s="29">
        <f>Sheet1!L165</f>
        <v>0.806692171259191</v>
      </c>
      <c r="C134" s="29">
        <f>Sheet1!N165</f>
        <v>1.9331931371457438</v>
      </c>
      <c r="D134" s="29">
        <f>Sheet1!P165</f>
        <v>1.8677436851031572</v>
      </c>
      <c r="E134" s="29">
        <f>Sheet1!T165</f>
        <v>1.569290662805641</v>
      </c>
    </row>
    <row r="135" spans="1:5" ht="12.75">
      <c r="A135" s="93" t="str">
        <f>Sheet1!B166</f>
        <v>   02/11</v>
      </c>
      <c r="B135" s="29">
        <f>Sheet1!L166</f>
        <v>0.8290936635634857</v>
      </c>
      <c r="C135" s="29">
        <f>Sheet1!N166</f>
        <v>2.04618473633505</v>
      </c>
      <c r="D135" s="29">
        <f>Sheet1!P166</f>
        <v>1.9156180700518208</v>
      </c>
      <c r="E135" s="29">
        <f>Sheet1!T166</f>
        <v>1.6196104568077767</v>
      </c>
    </row>
    <row r="136" spans="1:5" ht="12.75">
      <c r="A136" s="93" t="str">
        <f>Sheet1!B167</f>
        <v>   03/11</v>
      </c>
      <c r="B136" s="29">
        <f>Sheet1!L167</f>
        <v>0.8370370598106149</v>
      </c>
      <c r="C136" s="29">
        <f>Sheet1!N167</f>
        <v>2.0874666291271766</v>
      </c>
      <c r="D136" s="29">
        <f>Sheet1!P167</f>
        <v>1.8849087764897634</v>
      </c>
      <c r="E136" s="29">
        <f>Sheet1!T167</f>
        <v>1.6266348088900948</v>
      </c>
    </row>
    <row r="137" spans="1:5" ht="12.75">
      <c r="A137" s="93" t="str">
        <f>Sheet1!B168</f>
        <v>   04/11</v>
      </c>
      <c r="B137" s="29">
        <f>Sheet1!L168</f>
        <v>0.8614125907794202</v>
      </c>
      <c r="C137" s="29">
        <f>Sheet1!N168</f>
        <v>2.151844858279974</v>
      </c>
      <c r="D137" s="29">
        <f>Sheet1!P168</f>
        <v>1.958458813693932</v>
      </c>
      <c r="E137" s="29">
        <f>Sheet1!T168</f>
        <v>1.6744689745253274</v>
      </c>
    </row>
    <row r="138" spans="1:5" ht="12.75">
      <c r="A138" s="93" t="str">
        <f>Sheet1!B171</f>
        <v>   05/11</v>
      </c>
      <c r="B138" s="29">
        <f>Sheet1!L171</f>
        <v>0.8559905395030323</v>
      </c>
      <c r="C138" s="29">
        <f>Sheet1!N171</f>
        <v>2.0640101265456323</v>
      </c>
      <c r="D138" s="29">
        <f>Sheet1!P171</f>
        <v>1.9361186896880698</v>
      </c>
      <c r="E138" s="29">
        <f>Sheet1!T171</f>
        <v>1.6485597514829933</v>
      </c>
    </row>
    <row r="139" spans="1:5" ht="12.75">
      <c r="A139" s="93" t="str">
        <f>Sheet1!B172</f>
        <v>   06/11</v>
      </c>
      <c r="B139" s="29">
        <f>Sheet1!L172</f>
        <v>0.8532057969280062</v>
      </c>
      <c r="C139" s="29">
        <f>Sheet1!N172</f>
        <v>2.013208596038719</v>
      </c>
      <c r="D139" s="29">
        <f>Sheet1!P172</f>
        <v>1.8978320709390437</v>
      </c>
      <c r="E139" s="29">
        <f>Sheet1!T172</f>
        <v>1.6260625845569152</v>
      </c>
    </row>
    <row r="140" spans="1:5" ht="12.75">
      <c r="A140" s="93" t="str">
        <f>Sheet1!B173</f>
        <v>   07/11</v>
      </c>
      <c r="B140" s="29">
        <f>Sheet1!L173</f>
        <v>0.8276047724605549</v>
      </c>
      <c r="C140" s="29">
        <f>Sheet1!N173</f>
        <v>1.950053888026319</v>
      </c>
      <c r="D140" s="29">
        <f>Sheet1!P173</f>
        <v>1.834045297123328</v>
      </c>
      <c r="E140" s="29">
        <f>Sheet1!T173</f>
        <v>1.5872400245921836</v>
      </c>
    </row>
    <row r="141" spans="1:5" ht="12.75">
      <c r="A141" s="93" t="str">
        <f>Sheet1!B174</f>
        <v>   08/11</v>
      </c>
      <c r="B141" s="29">
        <f>Sheet1!L174</f>
        <v>0.7691626486891682</v>
      </c>
      <c r="C141" s="29">
        <f>Sheet1!N174</f>
        <v>1.8269252669148337</v>
      </c>
      <c r="D141" s="29">
        <f>Sheet1!P174</f>
        <v>1.7045269451546647</v>
      </c>
      <c r="E141" s="29">
        <f>Sheet1!T174</f>
        <v>1.5006363392713034</v>
      </c>
    </row>
    <row r="142" spans="1:5" ht="12.75">
      <c r="A142" s="93" t="str">
        <f>Sheet1!B175</f>
        <v>   09/11</v>
      </c>
      <c r="B142" s="29">
        <f>Sheet1!L175</f>
        <v>0.7637462522582867</v>
      </c>
      <c r="C142" s="29">
        <f>Sheet1!N175</f>
        <v>1.6373967820973758</v>
      </c>
      <c r="D142" s="29">
        <f>Sheet1!P175</f>
        <v>1.5944263000481753</v>
      </c>
      <c r="E142" s="29">
        <f>Sheet1!T175</f>
        <v>1.4249977677729944</v>
      </c>
    </row>
    <row r="143" spans="1:5" ht="12.75">
      <c r="A143" s="93" t="str">
        <f>Sheet1!B176</f>
        <v>   10/11</v>
      </c>
      <c r="B143" s="29">
        <f>Sheet1!L176</f>
        <v>0.7837346478855431</v>
      </c>
      <c r="C143" s="29">
        <f>Sheet1!N176</f>
        <v>1.8461514895675204</v>
      </c>
      <c r="D143" s="29">
        <f>Sheet1!P176</f>
        <v>1.73863520640853</v>
      </c>
      <c r="E143" s="29">
        <f>Sheet1!T176</f>
        <v>1.5222116131217684</v>
      </c>
    </row>
    <row r="144" spans="1:5" ht="12.75">
      <c r="A144" s="93" t="str">
        <f>Sheet1!B179</f>
        <v>   11/11</v>
      </c>
      <c r="B144" s="29">
        <f>Sheet1!L179</f>
        <v>0.7688965512628543</v>
      </c>
      <c r="C144" s="29">
        <f>Sheet1!N179</f>
        <v>1.7834862506580833</v>
      </c>
      <c r="D144" s="29">
        <f>Sheet1!P179</f>
        <v>1.7298495120482553</v>
      </c>
      <c r="E144" s="29">
        <f>Sheet1!T179</f>
        <v>1.4930394469772679</v>
      </c>
    </row>
    <row r="145" spans="1:5" ht="12.75">
      <c r="A145" s="93" t="str">
        <f>Sheet1!B180</f>
        <v>   12/11</v>
      </c>
      <c r="B145" s="29">
        <f>Sheet1!L180</f>
        <v>0.7604522320843679</v>
      </c>
      <c r="C145" s="29">
        <f>Sheet1!N180</f>
        <v>1.8162638968078253</v>
      </c>
      <c r="D145" s="29">
        <f>Sheet1!P180</f>
        <v>1.7695112458884454</v>
      </c>
      <c r="E145" s="29">
        <f>Sheet1!T180</f>
        <v>1.5091477867431213</v>
      </c>
    </row>
    <row r="146" spans="1:5" ht="12.75">
      <c r="A146" s="93" t="str">
        <f>Sheet1!B181</f>
        <v>   01/2012</v>
      </c>
      <c r="B146" s="29">
        <f>Sheet1!L181</f>
        <v>0.8394192372473941</v>
      </c>
      <c r="C146" s="29">
        <f>Sheet1!N181</f>
        <v>1.9682689644072164</v>
      </c>
      <c r="D146" s="29">
        <f>Sheet1!P181</f>
        <v>1.8519817195726966</v>
      </c>
      <c r="E146" s="29">
        <f>Sheet1!T181</f>
        <v>1.6078472656640168</v>
      </c>
    </row>
    <row r="147" spans="1:5" ht="12.75">
      <c r="A147" s="93" t="str">
        <f>Sheet1!B182</f>
        <v>   02/12</v>
      </c>
      <c r="B147" s="29">
        <f>Sheet1!L182</f>
        <v>0.8692240435885005</v>
      </c>
      <c r="C147" s="29">
        <f>Sheet1!N182</f>
        <v>2.041158810470457</v>
      </c>
      <c r="D147" s="29">
        <f>Sheet1!P182</f>
        <v>1.9108519551038754</v>
      </c>
      <c r="E147" s="29">
        <f>Sheet1!T182</f>
        <v>1.6549908104407658</v>
      </c>
    </row>
    <row r="148" spans="1:5" ht="12.75">
      <c r="A148" s="93" t="str">
        <f>Sheet1!B183</f>
        <v>   03/12</v>
      </c>
      <c r="B148" s="29">
        <f>Sheet1!L183</f>
        <v>0.8872320483571183</v>
      </c>
      <c r="C148" s="29">
        <f>Sheet1!N183</f>
        <v>2.1212041044600305</v>
      </c>
      <c r="D148" s="29">
        <f>Sheet1!P183</f>
        <v>1.9483323668475268</v>
      </c>
      <c r="E148" s="29">
        <f>Sheet1!T183</f>
        <v>1.6899239713169127</v>
      </c>
    </row>
    <row r="149" spans="1:5" ht="12.75">
      <c r="A149" s="93" t="str">
        <f>Sheet1!B184</f>
        <v>   04/12</v>
      </c>
      <c r="B149" s="29">
        <f>Sheet1!L184</f>
        <v>0.8621987394155582</v>
      </c>
      <c r="C149" s="29">
        <f>Sheet1!N184</f>
        <v>2.0687955799715745</v>
      </c>
      <c r="D149" s="29">
        <f>Sheet1!P184</f>
        <v>1.9086291519600453</v>
      </c>
      <c r="E149" s="29">
        <f>Sheet1!T184</f>
        <v>1.6586600895810895</v>
      </c>
    </row>
    <row r="150" spans="1:5" ht="12.75">
      <c r="A150" s="93" t="str">
        <f>Sheet1!B187</f>
        <v>   05/12</v>
      </c>
      <c r="B150" s="29">
        <f>Sheet1!L187</f>
        <v>0.7993600665034292</v>
      </c>
      <c r="C150" s="29">
        <f>Sheet1!N187</f>
        <v>1.8857400399947202</v>
      </c>
      <c r="D150" s="29">
        <f>Sheet1!P187</f>
        <v>1.775189329305498</v>
      </c>
      <c r="E150" s="29">
        <f>Sheet1!T187</f>
        <v>1.5695889087817552</v>
      </c>
    </row>
    <row r="151" spans="1:5" ht="12.75">
      <c r="A151" s="93" t="str">
        <f>Sheet1!B188</f>
        <v>   06/12</v>
      </c>
      <c r="B151" s="29">
        <f>Sheet1!L188</f>
        <v>0.8209329779690324</v>
      </c>
      <c r="C151" s="29">
        <f>Sheet1!N188</f>
        <v>1.948431135329273</v>
      </c>
      <c r="D151" s="29">
        <f>Sheet1!P188</f>
        <v>1.8258099234504073</v>
      </c>
      <c r="E151" s="29">
        <f>Sheet1!T188</f>
        <v>1.5928156279036239</v>
      </c>
    </row>
    <row r="152" spans="1:5" ht="12.75">
      <c r="A152" s="93" t="str">
        <f>Sheet1!B189</f>
        <v>   07/12</v>
      </c>
      <c r="B152" s="29">
        <f>Sheet1!L189</f>
        <v>0.8281211423297667</v>
      </c>
      <c r="C152" s="29">
        <f>Sheet1!N189</f>
        <v>1.9345185275139847</v>
      </c>
      <c r="D152" s="29">
        <f>Sheet1!P189</f>
        <v>1.8573851589122572</v>
      </c>
      <c r="E152" s="29">
        <f>Sheet1!T189</f>
        <v>1.6049166941941424</v>
      </c>
    </row>
    <row r="153" spans="1:5" ht="12.75">
      <c r="A153" s="93" t="str">
        <f>Sheet1!B190</f>
        <v>   08/12</v>
      </c>
      <c r="B153" s="29">
        <f>Sheet1!L190</f>
        <v>0.8566665940347693</v>
      </c>
      <c r="C153" s="29">
        <f>Sheet1!N190</f>
        <v>1.9826739537491445</v>
      </c>
      <c r="D153" s="29">
        <f>Sheet1!P190</f>
        <v>1.8894192102044174</v>
      </c>
      <c r="E153" s="29">
        <f>Sheet1!T190</f>
        <v>1.6390549394241518</v>
      </c>
    </row>
    <row r="154" spans="1:5" ht="12.75">
      <c r="A154" s="93" t="str">
        <f>Sheet1!B191</f>
        <v>   09/12</v>
      </c>
      <c r="B154" s="29">
        <f>Sheet1!L191</f>
        <v>0.8718213678315858</v>
      </c>
      <c r="C154" s="29">
        <f>Sheet1!N191</f>
        <v>1.9942687197048221</v>
      </c>
      <c r="D154" s="29">
        <f>Sheet1!P191</f>
        <v>1.958160508680485</v>
      </c>
      <c r="E154" s="29">
        <f>Sheet1!T191</f>
        <v>1.6665937120496985</v>
      </c>
    </row>
    <row r="155" spans="1:5" ht="12.75">
      <c r="A155" s="93" t="str">
        <f>Sheet1!B192</f>
        <v>   10/12</v>
      </c>
      <c r="B155" s="29">
        <f>Sheet1!L192</f>
        <v>0.839994335688656</v>
      </c>
      <c r="C155" s="29">
        <f>Sheet1!N192</f>
        <v>1.9782926975957045</v>
      </c>
      <c r="D155" s="29">
        <f>Sheet1!P192</f>
        <v>1.933634164539441</v>
      </c>
      <c r="E155" s="29">
        <f>Sheet1!T192</f>
        <v>1.642092167831273</v>
      </c>
    </row>
    <row r="156" spans="1:5" ht="12.75">
      <c r="A156" s="93" t="str">
        <f>Sheet1!B193</f>
        <v>   11/12</v>
      </c>
      <c r="B156" s="29">
        <f>Sheet1!L193</f>
        <v>0.8489419610977218</v>
      </c>
      <c r="C156" s="29">
        <f>Sheet1!N193</f>
        <v>1.9906081452069375</v>
      </c>
      <c r="D156" s="29">
        <f>Sheet1!P193</f>
        <v>1.9327753704269182</v>
      </c>
      <c r="E156" s="29">
        <f>Sheet1!T193</f>
        <v>1.6499852189207476</v>
      </c>
    </row>
    <row r="157" spans="1:5" ht="12.75">
      <c r="A157" s="93" t="str">
        <f>Sheet1!B194</f>
        <v>   12/12</v>
      </c>
      <c r="B157" s="29">
        <f>Sheet1!L194</f>
        <v>0.8438030771868674</v>
      </c>
      <c r="C157" s="29">
        <f>Sheet1!N194</f>
        <v>2.02550155562369</v>
      </c>
      <c r="D157" s="29">
        <f>Sheet1!P194</f>
        <v>2.0042400325676697</v>
      </c>
      <c r="E157" s="29">
        <f>Sheet1!T194</f>
        <v>1.6707648333942782</v>
      </c>
    </row>
    <row r="158" spans="1:5" ht="12.75">
      <c r="A158" s="93" t="str">
        <f>Sheet1!B195</f>
        <v>   01/13</v>
      </c>
      <c r="B158" s="29">
        <f>Sheet1!L195</f>
        <v>0.8827324250975663</v>
      </c>
      <c r="C158" s="29">
        <f>Sheet1!N195</f>
        <v>2.1194492710555797</v>
      </c>
      <c r="D158" s="29">
        <f>Sheet1!P195</f>
        <v>2.192786733629414</v>
      </c>
      <c r="E158" s="29">
        <f>Sheet1!T195</f>
        <v>1.7532382320632802</v>
      </c>
    </row>
    <row r="159" spans="1:5" ht="12.75">
      <c r="A159" s="93" t="str">
        <f>Sheet1!B198</f>
        <v>   02/13</v>
      </c>
      <c r="B159" s="29">
        <f>Sheet1!L198</f>
        <v>0.8750429445324978</v>
      </c>
      <c r="C159" s="29">
        <f>Sheet1!N198</f>
        <v>2.0959884611928623</v>
      </c>
      <c r="D159" s="29">
        <f>Sheet1!P198</f>
        <v>2.183702827427028</v>
      </c>
      <c r="E159" s="29">
        <f>Sheet1!T198</f>
        <v>1.7432869967735267</v>
      </c>
    </row>
    <row r="160" spans="1:5" ht="12.75">
      <c r="A160" s="93" t="str">
        <f>Sheet1!B199</f>
        <v>   03/13</v>
      </c>
      <c r="B160" s="29">
        <f>Sheet1!L199</f>
        <v>0.8974153495689716</v>
      </c>
      <c r="C160" s="29">
        <f>Sheet1!N199</f>
        <v>2.131558448558784</v>
      </c>
      <c r="D160" s="29">
        <f>Sheet1!P199</f>
        <v>2.2727403860607596</v>
      </c>
      <c r="E160" s="29">
        <f>Sheet1!T199</f>
        <v>1.783022282957231</v>
      </c>
    </row>
    <row r="161" spans="1:5" ht="12.75">
      <c r="A161" s="93" t="str">
        <f>Sheet1!B200</f>
        <v>   04/13</v>
      </c>
      <c r="B161" s="29">
        <f>Sheet1!L200</f>
        <v>0.9050597184324252</v>
      </c>
      <c r="C161" s="29">
        <f>Sheet1!N200</f>
        <v>2.120472464588325</v>
      </c>
      <c r="D161" s="29">
        <f>Sheet1!P200</f>
        <v>2.3687375209724606</v>
      </c>
      <c r="E161" s="29">
        <f>Sheet1!T200</f>
        <v>1.8090915044089417</v>
      </c>
    </row>
    <row r="162" spans="1:5" ht="12.75">
      <c r="A162" s="93" t="str">
        <f>Sheet1!B203</f>
        <v>   05/13</v>
      </c>
      <c r="B162" s="29">
        <f>Sheet1!L203</f>
        <v>0.9467898732095658</v>
      </c>
      <c r="C162" s="29">
        <f>Sheet1!N203</f>
        <v>2.2275616056737912</v>
      </c>
      <c r="D162" s="29">
        <f>Sheet1!P203</f>
        <v>2.423018609844486</v>
      </c>
      <c r="E162" s="29">
        <f>Sheet1!T203</f>
        <v>1.8613604992560953</v>
      </c>
    </row>
    <row r="163" spans="1:5" ht="12.75">
      <c r="A163" s="93" t="str">
        <f>Sheet1!B204</f>
        <v>   06/13</v>
      </c>
      <c r="B163" s="29">
        <f>Sheet1!L204</f>
        <v>0.9200833473395927</v>
      </c>
      <c r="C163" s="29">
        <f>Sheet1!N204</f>
        <v>2.2042317867895</v>
      </c>
      <c r="D163" s="29">
        <f>Sheet1!P204</f>
        <v>2.3654649629673776</v>
      </c>
      <c r="E163" s="29">
        <f>Sheet1!T204</f>
        <v>1.8209292363004506</v>
      </c>
    </row>
    <row r="164" spans="1:5" ht="12.75">
      <c r="A164" s="93" t="str">
        <f>Sheet1!B205</f>
        <v>   07/13</v>
      </c>
      <c r="B164" s="29">
        <f>Sheet1!L205</f>
        <v>0.97517041271861</v>
      </c>
      <c r="C164" s="29">
        <f>Sheet1!N205</f>
        <v>2.347551306705072</v>
      </c>
      <c r="D164" s="29">
        <f>Sheet1!P205</f>
        <v>2.5155657568468204</v>
      </c>
      <c r="E164" s="29">
        <f>Sheet1!T205</f>
        <v>1.9179251281614862</v>
      </c>
    </row>
    <row r="165" spans="1:5" ht="12.75">
      <c r="A165" s="93" t="str">
        <f>Sheet1!B206</f>
        <v>   08/13</v>
      </c>
      <c r="B165" s="29">
        <f>Sheet1!L206</f>
        <v>0.9688915096739859</v>
      </c>
      <c r="C165" s="29">
        <f>Sheet1!N206</f>
        <v>2.270971932968208</v>
      </c>
      <c r="D165" s="29">
        <f>Sheet1!P206</f>
        <v>2.44795660864772</v>
      </c>
      <c r="E165" s="29">
        <f>Sheet1!T206</f>
        <v>1.879246507745681</v>
      </c>
    </row>
    <row r="166" spans="1:5" ht="12.75">
      <c r="A166" s="93" t="str">
        <f>Sheet1!B207</f>
        <v>   09/13</v>
      </c>
      <c r="B166" s="29">
        <f>Sheet1!L207</f>
        <v>1.0001378765286302</v>
      </c>
      <c r="C166" s="29">
        <f>Sheet1!N207</f>
        <v>2.4285471364776945</v>
      </c>
      <c r="D166" s="29">
        <f>Sheet1!P207</f>
        <v>2.543526931795922</v>
      </c>
      <c r="E166" s="29">
        <f>Sheet1!T207</f>
        <v>1.9577079555156331</v>
      </c>
    </row>
    <row r="167" spans="1:5" ht="12.75">
      <c r="A167" s="93" t="str">
        <f>Sheet1!B208</f>
        <v>   10/13</v>
      </c>
      <c r="B167" s="29">
        <f>Sheet1!L208</f>
        <v>1.043643058771344</v>
      </c>
      <c r="C167" s="29">
        <f>Sheet1!N208</f>
        <v>2.5040021446647374</v>
      </c>
      <c r="D167" s="29">
        <f>Sheet1!P208</f>
        <v>2.6583870423304634</v>
      </c>
      <c r="E167" s="29">
        <f>Sheet1!T208</f>
        <v>2.0271867942320942</v>
      </c>
    </row>
    <row r="168" spans="1:5" ht="12.75">
      <c r="A168" s="93" t="str">
        <f>Sheet1!B209</f>
        <v>   11/13</v>
      </c>
      <c r="B168" s="29">
        <f>Sheet1!L209</f>
        <v>1.0992265607989615</v>
      </c>
      <c r="C168" s="29">
        <f>Sheet1!N209</f>
        <v>2.569089327236241</v>
      </c>
      <c r="D168" s="29">
        <f>Sheet1!P209</f>
        <v>2.768372769006753</v>
      </c>
      <c r="E168" s="29">
        <f>Sheet1!T209</f>
        <v>2.0945604783200875</v>
      </c>
    </row>
    <row r="169" spans="1:5" ht="12.75">
      <c r="A169" s="93" t="str">
        <f>Sheet1!B210</f>
        <v>   12/13</v>
      </c>
      <c r="B169" s="29">
        <f>Sheet1!L210</f>
        <v>1.1139000530125942</v>
      </c>
      <c r="C169" s="29">
        <f>Sheet1!N210</f>
        <v>2.6233218152558218</v>
      </c>
      <c r="D169" s="29">
        <f>Sheet1!P210</f>
        <v>2.822584015988737</v>
      </c>
      <c r="E169" s="29">
        <f>Sheet1!T210</f>
        <v>2.1263423634957372</v>
      </c>
    </row>
    <row r="170" spans="1:5" ht="12.75">
      <c r="A170" s="93" t="str">
        <f>Sheet1!B211</f>
        <v>   01/2014</v>
      </c>
      <c r="B170" s="29">
        <f>Sheet1!L211</f>
        <v>1.101189025249976</v>
      </c>
      <c r="C170" s="29">
        <f>Sheet1!N211</f>
        <v>2.503892414153489</v>
      </c>
      <c r="D170" s="29">
        <f>Sheet1!P211</f>
        <v>2.692544498076044</v>
      </c>
      <c r="E170" s="29">
        <f>Sheet1!T211</f>
        <v>2.0654347515367353</v>
      </c>
    </row>
    <row r="171" spans="1:5" ht="12.75">
      <c r="A171" s="93" t="str">
        <f>Sheet1!B212</f>
        <v>   02/14</v>
      </c>
      <c r="B171" s="29">
        <f>Sheet1!L212</f>
        <v>1.1705777371235015</v>
      </c>
      <c r="C171" s="29">
        <f>Sheet1!N212</f>
        <v>2.613139384286982</v>
      </c>
      <c r="D171" s="29">
        <f>Sheet1!P212</f>
        <v>2.7936453820360163</v>
      </c>
      <c r="E171" s="29">
        <f>Sheet1!T212</f>
        <v>2.1520307197124184</v>
      </c>
    </row>
    <row r="172" spans="1:5" ht="12.75">
      <c r="A172" s="93" t="str">
        <f>Sheet1!B213</f>
        <v>   03/14</v>
      </c>
      <c r="B172" s="29">
        <f>Sheet1!L213</f>
        <v>1.1631910641906216</v>
      </c>
      <c r="C172" s="29">
        <f>Sheet1!N213</f>
        <v>2.6532759678968256</v>
      </c>
      <c r="D172" s="29">
        <f>Sheet1!P213</f>
        <v>2.814614976809814</v>
      </c>
      <c r="E172" s="29">
        <f>Sheet1!T213</f>
        <v>2.160868085439967</v>
      </c>
    </row>
    <row r="173" spans="1:5" ht="12.75">
      <c r="A173" s="93" t="str">
        <f>Sheet1!B214</f>
        <v>   04/14</v>
      </c>
      <c r="B173" s="29">
        <f>Sheet1!L214</f>
        <v>1.1454452925845833</v>
      </c>
      <c r="C173" s="29">
        <f>Sheet1!N214</f>
        <v>2.542741963079715</v>
      </c>
      <c r="D173" s="29">
        <f>Sheet1!P214</f>
        <v>2.8311266661895496</v>
      </c>
      <c r="E173" s="29">
        <f>Sheet1!T214</f>
        <v>2.1307394787739256</v>
      </c>
    </row>
    <row r="174" spans="1:5" ht="12.75">
      <c r="A174" s="93" t="str">
        <f>Sheet1!B217</f>
        <v>   05/14</v>
      </c>
      <c r="B174" s="29">
        <f>Sheet1!L217</f>
        <v>1.15905157470036</v>
      </c>
      <c r="C174" s="29">
        <f>Sheet1!N217</f>
        <v>2.586169749304339</v>
      </c>
      <c r="D174" s="29">
        <f>Sheet1!P217</f>
        <v>2.8882534056786295</v>
      </c>
      <c r="E174" s="29">
        <f>Sheet1!T217</f>
        <v>2.163840205239019</v>
      </c>
    </row>
    <row r="175" spans="1:5" ht="12.75">
      <c r="A175" s="93" t="str">
        <f>Sheet1!B220</f>
        <v>   06/14</v>
      </c>
      <c r="B175" s="29">
        <f>Sheet1!L220</f>
        <v>1.2005001842332685</v>
      </c>
      <c r="C175" s="29">
        <f>Sheet1!N220</f>
        <v>2.709567592871122</v>
      </c>
      <c r="D175" s="29">
        <f>Sheet1!P220</f>
        <v>2.981213032981055</v>
      </c>
      <c r="E175" s="29">
        <f>Sheet1!T220</f>
        <v>2.2324555200992844</v>
      </c>
    </row>
    <row r="176" spans="1:5" ht="12.75">
      <c r="A176" s="93" t="str">
        <f>Sheet1!B221</f>
        <v>   07/14</v>
      </c>
      <c r="B176" s="29">
        <f>Sheet1!L221</f>
        <v>1.166679217491838</v>
      </c>
      <c r="C176" s="29">
        <f>Sheet1!N221</f>
        <v>2.5455536367891938</v>
      </c>
      <c r="D176" s="29">
        <f>Sheet1!P221</f>
        <v>2.9023001462333733</v>
      </c>
      <c r="E176" s="29">
        <f>Sheet1!T221</f>
        <v>2.1616845243717213</v>
      </c>
    </row>
    <row r="177" spans="1:5" ht="12.75">
      <c r="A177" s="93" t="str">
        <f>Sheet1!B222</f>
        <v>   08/14</v>
      </c>
      <c r="B177" s="29">
        <f>Sheet1!L222</f>
        <v>1.234056350738241</v>
      </c>
      <c r="C177" s="29">
        <f>Sheet1!N222</f>
        <v>2.5925212861711118</v>
      </c>
      <c r="D177" s="29">
        <f>Sheet1!P222</f>
        <v>3.0048643221751385</v>
      </c>
      <c r="E177" s="29">
        <f>Sheet1!T222</f>
        <v>2.230932645932326</v>
      </c>
    </row>
    <row r="178" spans="1:5" ht="12.75">
      <c r="A178" s="93" t="str">
        <f>Sheet1!B223</f>
        <v>   09/14</v>
      </c>
      <c r="B178" s="29">
        <f>Sheet1!L223</f>
        <v>1.1927036931196802</v>
      </c>
      <c r="C178" s="29">
        <f>Sheet1!N223</f>
        <v>2.4582987340292894</v>
      </c>
      <c r="D178" s="29">
        <f>Sheet1!P223</f>
        <v>2.9170000156948435</v>
      </c>
      <c r="E178" s="29">
        <f>Sheet1!T223</f>
        <v>2.1593129744266033</v>
      </c>
    </row>
    <row r="179" spans="1:5" ht="12.75">
      <c r="A179" s="93" t="str">
        <f>Sheet1!B224</f>
        <v>   10/14</v>
      </c>
      <c r="B179" s="29">
        <f>Sheet1!L224</f>
        <v>1.189622325755265</v>
      </c>
      <c r="C179" s="29">
        <f>Sheet1!N224</f>
        <v>2.6252009670112586</v>
      </c>
      <c r="D179" s="29">
        <f>Sheet1!P224</f>
        <v>2.974962163975308</v>
      </c>
      <c r="E179" s="29">
        <f>Sheet1!T224</f>
        <v>2.209684569667513</v>
      </c>
    </row>
    <row r="180" spans="1:5" ht="12.75">
      <c r="A180" s="93" t="str">
        <f>Sheet1!B225</f>
        <v>   11/14</v>
      </c>
      <c r="B180" s="29">
        <f>Sheet1!L225</f>
        <v>1.1869320731387851</v>
      </c>
      <c r="C180" s="29">
        <f>Sheet1!N225</f>
        <v>2.5943237421397076</v>
      </c>
      <c r="D180" s="29">
        <f>Sheet1!P225</f>
        <v>3.0610657146123326</v>
      </c>
      <c r="E180" s="29">
        <f>Sheet1!T225</f>
        <v>2.221239271169201</v>
      </c>
    </row>
    <row r="181" spans="1:5" ht="12.75">
      <c r="A181" s="93" t="str">
        <f>Sheet1!B226</f>
        <v>   12/14</v>
      </c>
      <c r="B181" s="29">
        <f>Sheet1!L226</f>
        <v>1.1599504777106306</v>
      </c>
      <c r="C181" s="29">
        <f>Sheet1!N226</f>
        <v>2.6472172947163983</v>
      </c>
      <c r="D181" s="29">
        <f>Sheet1!P226</f>
        <v>3.086969140886519</v>
      </c>
      <c r="E181" s="29">
        <f>Sheet1!T226</f>
        <v>2.223785666622281</v>
      </c>
    </row>
    <row r="182" spans="1:5" ht="12.75">
      <c r="A182" s="93" t="str">
        <f>Sheet1!B227</f>
        <v>   01/15</v>
      </c>
      <c r="B182" s="29">
        <f>Sheet1!L227</f>
        <v>1.1338105064277597</v>
      </c>
      <c r="C182" s="29">
        <f>Sheet1!N227</f>
        <v>2.5597311303492205</v>
      </c>
      <c r="D182" s="29">
        <f>Sheet1!P227</f>
        <v>2.995409675504169</v>
      </c>
      <c r="E182" s="29">
        <f>Sheet1!T227</f>
        <v>2.1775055580416174</v>
      </c>
    </row>
    <row r="183" spans="1:5" ht="12.75">
      <c r="A183" s="93" t="str">
        <f>Sheet1!B228</f>
        <v>   02/15</v>
      </c>
      <c r="B183" s="29">
        <f>Sheet1!L228</f>
        <v>1.2140912417732832</v>
      </c>
      <c r="C183" s="29">
        <f>Sheet1!N228</f>
        <v>2.703454482509649</v>
      </c>
      <c r="D183" s="29">
        <f>Sheet1!P228</f>
        <v>3.149680500128238</v>
      </c>
      <c r="E183" s="29">
        <f>Sheet1!T228</f>
        <v>2.28096068907632</v>
      </c>
    </row>
    <row r="184" spans="1:5" ht="12.75">
      <c r="A184" t="str">
        <f>Sheet1!B229</f>
        <v>   03/15</v>
      </c>
      <c r="B184">
        <f>Sheet1!L229</f>
        <v>1.1874004467366</v>
      </c>
      <c r="C184">
        <f>Sheet1!N229</f>
        <v>2.7214751692777455</v>
      </c>
      <c r="D184">
        <f>Sheet1!P229</f>
        <v>3.0851460874220544</v>
      </c>
      <c r="E184">
        <f>Sheet1!T229</f>
        <v>2.259842504542203</v>
      </c>
    </row>
    <row r="185" spans="1:5" ht="12.75">
      <c r="A185" t="str">
        <f>Sheet1!B230</f>
        <v>   04/15</v>
      </c>
      <c r="B185">
        <f>Sheet1!L230</f>
        <v>1.171097477054998</v>
      </c>
      <c r="C185">
        <f>Sheet1!N230</f>
        <v>2.6664192698410076</v>
      </c>
      <c r="D185">
        <f>Sheet1!P230</f>
        <v>3.1347253557989365</v>
      </c>
      <c r="E185">
        <f>Sheet1!T230</f>
        <v>2.249214639059059</v>
      </c>
    </row>
    <row r="186" spans="1:5" ht="12.75">
      <c r="A186" t="str">
        <f>Sheet1!B233</f>
        <v>   05/15 - </v>
      </c>
      <c r="B186">
        <f>Sheet1!L233</f>
        <v>1.17254364587257</v>
      </c>
      <c r="C186">
        <f>Sheet1!N233</f>
        <v>2.674760028826797</v>
      </c>
      <c r="D186">
        <f>Sheet1!P233</f>
        <v>3.1372106646334474</v>
      </c>
      <c r="E186">
        <f>Sheet1!T233</f>
        <v>2.2510460459026453</v>
      </c>
    </row>
    <row r="187" spans="1:5" ht="12.75">
      <c r="A187" t="str">
        <f>Sheet1!B234</f>
        <v>   06/15</v>
      </c>
      <c r="B187">
        <f>Sheet1!L234</f>
        <v>1.1345008266523826</v>
      </c>
      <c r="C187">
        <f>Sheet1!N234</f>
        <v>2.6701024389002375</v>
      </c>
      <c r="D187">
        <f>Sheet1!P234</f>
        <v>3.0733453624444182</v>
      </c>
      <c r="E187">
        <f>Sheet1!T234</f>
        <v>2.2143037560227925</v>
      </c>
    </row>
    <row r="188" spans="1:5" ht="12.75">
      <c r="A188" t="str">
        <f>Sheet1!B235</f>
        <v>   07/15</v>
      </c>
      <c r="B188">
        <f>Sheet1!L235</f>
        <v>1.174941144801857</v>
      </c>
      <c r="C188">
        <f>Sheet1!N235</f>
        <v>2.6400920514781485</v>
      </c>
      <c r="D188">
        <f>Sheet1!P235</f>
        <v>3.0752248878678654</v>
      </c>
      <c r="E188">
        <f>Sheet1!T235</f>
        <v>2.2303732028765686</v>
      </c>
    </row>
    <row r="189" spans="1:5" ht="12.75">
      <c r="A189" t="str">
        <f>Sheet1!B236</f>
        <v>   08/15</v>
      </c>
      <c r="B189">
        <f>Sheet1!L236</f>
        <v>1.0712815230171935</v>
      </c>
      <c r="C189">
        <f>Sheet1!N236</f>
        <v>2.5755041347571352</v>
      </c>
      <c r="D189">
        <f>Sheet1!P236</f>
        <v>2.9071848845289816</v>
      </c>
      <c r="E189">
        <f>Sheet1!T236</f>
        <v>2.129196054051863</v>
      </c>
    </row>
    <row r="190" spans="1:5" ht="12.75">
      <c r="A190" t="str">
        <f>Sheet1!B237</f>
        <v>   09/15</v>
      </c>
      <c r="B190">
        <f>Sheet1!L237</f>
        <v>1.0309868970362588</v>
      </c>
      <c r="C190">
        <f>Sheet1!N237</f>
        <v>2.479382395696433</v>
      </c>
      <c r="D190">
        <f>Sheet1!P237</f>
        <v>2.818745659466573</v>
      </c>
      <c r="E190">
        <f>Sheet1!T237</f>
        <v>2.071528516921267</v>
      </c>
    </row>
    <row r="191" spans="1:5" ht="12.75">
      <c r="A191" t="str">
        <f>Sheet1!B238</f>
        <v>   10/15</v>
      </c>
      <c r="B191">
        <f>Sheet1!L238</f>
        <v>1.0755196923464252</v>
      </c>
      <c r="C191">
        <f>Sheet1!N238</f>
        <v>2.5740046764799023</v>
      </c>
      <c r="D191">
        <f>Sheet1!P238</f>
        <v>3.0174337280361</v>
      </c>
      <c r="E191">
        <f>Sheet1!T238</f>
        <v>2.156263734001708</v>
      </c>
    </row>
    <row r="192" spans="1:5" ht="12.75">
      <c r="A192" t="str">
        <f>Sheet1!B239</f>
        <v>   11/15</v>
      </c>
      <c r="B192">
        <f>Sheet1!L239</f>
        <v>1.063844972891653</v>
      </c>
      <c r="C192">
        <f>Sheet1!N239</f>
        <v>2.6597930957120823</v>
      </c>
      <c r="D192">
        <f>Sheet1!P239</f>
        <v>3.04372137582558</v>
      </c>
      <c r="E192">
        <f>Sheet1!T239</f>
        <v>2.1736909906474047</v>
      </c>
    </row>
    <row r="193" spans="1:5" ht="12.75">
      <c r="A193" t="str">
        <f>Sheet1!B240</f>
        <v>   12/15</v>
      </c>
      <c r="B193">
        <f>Sheet1!L240</f>
        <v>1.049045074856148</v>
      </c>
      <c r="C193">
        <f>Sheet1!N240</f>
        <v>2.5142731517439785</v>
      </c>
      <c r="D193">
        <f>Sheet1!P240</f>
        <v>2.9111549233165763</v>
      </c>
      <c r="E193">
        <f>Sheet1!T240</f>
        <v>2.1055716706654257</v>
      </c>
    </row>
    <row r="194" spans="1:5" ht="12.75">
      <c r="A194" t="str">
        <f>Sheet1!B241</f>
        <v>   01/16</v>
      </c>
      <c r="B194">
        <f>Sheet1!L241</f>
        <v>0.9785889533176411</v>
      </c>
      <c r="C194">
        <f>Sheet1!N241</f>
        <v>2.377361688907716</v>
      </c>
      <c r="D194">
        <f>Sheet1!P241</f>
        <v>2.7161377957614867</v>
      </c>
      <c r="E194">
        <f>Sheet1!T241</f>
        <v>2.0070160626572324</v>
      </c>
    </row>
    <row r="195" spans="1:5" ht="12.75">
      <c r="A195" t="str">
        <f>Sheet1!B242</f>
        <v>   02/16</v>
      </c>
      <c r="B195">
        <f>Sheet1!L242</f>
        <v>0.9665842494874444</v>
      </c>
      <c r="C195">
        <f>Sheet1!N242</f>
        <v>2.4062631822199076</v>
      </c>
      <c r="D195">
        <f>Sheet1!P242</f>
        <v>2.7157396593656005</v>
      </c>
      <c r="E195">
        <f>Sheet1!T242</f>
        <v>2.006575318508443</v>
      </c>
    </row>
    <row r="196" spans="1:5" ht="12.75">
      <c r="A196" t="str">
        <f>Sheet1!B243</f>
        <v>   03/16</v>
      </c>
      <c r="B196">
        <f>Sheet1!L243</f>
        <v>1.0148545164865939</v>
      </c>
      <c r="C196">
        <f>Sheet1!N243</f>
        <v>2.568523055336654</v>
      </c>
      <c r="D196">
        <f>Sheet1!P243</f>
        <v>2.939327645863424</v>
      </c>
      <c r="E196">
        <f>Sheet1!T243</f>
        <v>2.117296657394382</v>
      </c>
    </row>
    <row r="197" spans="1:5" ht="12.75">
      <c r="A197" t="str">
        <f>Sheet1!B244</f>
        <v>   04/16</v>
      </c>
      <c r="B197">
        <f>Sheet1!L244</f>
        <v>1.0186241548741979</v>
      </c>
      <c r="C197">
        <f>Sheet1!N244</f>
        <v>2.6134970599551086</v>
      </c>
      <c r="D197">
        <f>Sheet1!P244</f>
        <v>2.9748709031224516</v>
      </c>
      <c r="E197">
        <f>Sheet1!T244</f>
        <v>2.139344990591408</v>
      </c>
    </row>
    <row r="198" spans="1:5" ht="12.75">
      <c r="A198" t="str">
        <f>Sheet1!B247</f>
        <v>   05/16</v>
      </c>
      <c r="B198">
        <f>Sheet1!L247</f>
        <v>1.0318556255541622</v>
      </c>
      <c r="C198">
        <f>Sheet1!N247</f>
        <v>2.6800888358971595</v>
      </c>
      <c r="D198">
        <f>Sheet1!P247</f>
        <v>2.9842473461711063</v>
      </c>
      <c r="E198">
        <f>Sheet1!T247</f>
        <v>2.162297333811426</v>
      </c>
    </row>
    <row r="199" spans="1:5" ht="12.75">
      <c r="A199" t="str">
        <f>Sheet1!B248</f>
        <v>   06/16</v>
      </c>
      <c r="B199">
        <f>Sheet1!L248</f>
        <v>1.0302452730888194</v>
      </c>
      <c r="C199">
        <f>Sheet1!N248</f>
        <v>2.7251761065365043</v>
      </c>
      <c r="D199">
        <f>Sheet1!P248</f>
        <v>2.9694046723219025</v>
      </c>
      <c r="E199">
        <f>Sheet1!T248</f>
        <v>2.1765450831748865</v>
      </c>
    </row>
    <row r="200" spans="1:5" ht="12.75">
      <c r="A200" t="str">
        <f>Sheet1!B249</f>
        <v>   07/16</v>
      </c>
      <c r="B200">
        <f>Sheet1!L249</f>
        <v>1.0890993828004274</v>
      </c>
      <c r="C200">
        <f>Sheet1!N249</f>
        <v>2.859661555405848</v>
      </c>
      <c r="D200">
        <f>Sheet1!P249</f>
        <v>3.073379644243442</v>
      </c>
      <c r="E200">
        <f>Sheet1!T249</f>
        <v>2.2594646797644926</v>
      </c>
    </row>
    <row r="201" spans="1:5" ht="12.75">
      <c r="A201" t="str">
        <f>Sheet1!B250</f>
        <v>   08/16</v>
      </c>
      <c r="B201">
        <f>Sheet1!L250</f>
        <v>1.087533718014995</v>
      </c>
      <c r="C201">
        <f>Sheet1!N250</f>
        <v>2.907853205174232</v>
      </c>
      <c r="D201">
        <f>Sheet1!P250</f>
        <v>3.091925450418537</v>
      </c>
      <c r="E201">
        <f>Sheet1!T250</f>
        <v>2.2729587342232107</v>
      </c>
    </row>
    <row r="202" spans="1:5" ht="12.75">
      <c r="A202" t="str">
        <f>Sheet1!B251</f>
        <v>   09/16</v>
      </c>
      <c r="B202">
        <f>Sheet1!L251</f>
        <v>1.086939961904324</v>
      </c>
      <c r="C202">
        <f>Sheet1!N251</f>
        <v>2.9166959105495383</v>
      </c>
      <c r="D202">
        <f>Sheet1!P251</f>
        <v>3.0357751575979868</v>
      </c>
      <c r="E202">
        <f>Sheet1!T251</f>
        <v>2.264447910276123</v>
      </c>
    </row>
    <row r="203" spans="1:5" ht="12.75">
      <c r="A203" t="str">
        <f>Sheet1!B252</f>
        <v>   10/16</v>
      </c>
      <c r="B203">
        <f>Sheet1!L252</f>
        <v>1.0698189219937166</v>
      </c>
      <c r="C203">
        <f>Sheet1!N252</f>
        <v>2.805475170337314</v>
      </c>
      <c r="D203">
        <f>Sheet1!P252</f>
        <v>3.0219324367103346</v>
      </c>
      <c r="E203">
        <f>Sheet1!T252</f>
        <v>2.2248547185321743</v>
      </c>
    </row>
    <row r="204" spans="1:5" ht="12.75">
      <c r="A204" t="str">
        <f>Sheet1!B253</f>
        <v>   11/16</v>
      </c>
      <c r="B204">
        <f>Sheet1!L253</f>
        <v>1.095988467455186</v>
      </c>
      <c r="C204">
        <f>Sheet1!N253</f>
        <v>3.057312159452375</v>
      </c>
      <c r="D204">
        <f>Sheet1!P253</f>
        <v>3.1342634647680794</v>
      </c>
      <c r="E204">
        <f>Sheet1!T253</f>
        <v>2.3078228175675526</v>
      </c>
    </row>
    <row r="205" spans="1:5" ht="12.75">
      <c r="A205" t="str">
        <f>Sheet1!B254</f>
        <v>   12/16</v>
      </c>
      <c r="B205">
        <f>Sheet1!L254</f>
        <v>1.106605781405327</v>
      </c>
      <c r="C205">
        <f>Sheet1!N254</f>
        <v>3.183889274922428</v>
      </c>
      <c r="D205">
        <f>Sheet1!P254</f>
        <v>3.17989968560022</v>
      </c>
      <c r="E205">
        <f>Sheet1!T254</f>
        <v>2.3526546812400606</v>
      </c>
    </row>
    <row r="206" spans="1:5" ht="12.75">
      <c r="A206" t="str">
        <f>Sheet1!B255</f>
        <v>   01/17</v>
      </c>
      <c r="B206">
        <f>Sheet1!L255</f>
        <v>1.1380574444865088</v>
      </c>
      <c r="C206">
        <f>Sheet1!N255</f>
        <v>3.1674484594475905</v>
      </c>
      <c r="D206">
        <f>Sheet1!P255</f>
        <v>3.2211414155054072</v>
      </c>
      <c r="E206">
        <f>Sheet1!T255</f>
        <v>2.374258263074874</v>
      </c>
    </row>
    <row r="207" spans="1:5" ht="12.75">
      <c r="A207" t="str">
        <f>Sheet1!B256</f>
        <v>   02/17</v>
      </c>
      <c r="B207">
        <f>Sheet1!L256</f>
        <v>1.1766487624276614</v>
      </c>
      <c r="C207">
        <f>Sheet1!N256</f>
        <v>3.1883393857713873</v>
      </c>
      <c r="D207">
        <f>Sheet1!P256</f>
        <v>3.340474199391047</v>
      </c>
      <c r="E207">
        <f>Sheet1!T256</f>
        <v>2.42485772000595</v>
      </c>
    </row>
    <row r="208" spans="1:5" ht="12.75">
      <c r="A208" t="str">
        <f>Sheet1!B257</f>
        <v>   03/17</v>
      </c>
      <c r="B208">
        <f>Sheet1!L257</f>
        <v>1.1846928833545631</v>
      </c>
      <c r="C208">
        <f>Sheet1!N257</f>
        <v>3.1662805883708227</v>
      </c>
      <c r="D208">
        <f>Sheet1!P257</f>
        <v>3.3197876538819973</v>
      </c>
      <c r="E208">
        <f>Sheet1!T257</f>
        <v>2.4194937380987986</v>
      </c>
    </row>
    <row r="209" spans="1:5" ht="12.75">
      <c r="A209" t="str">
        <f>Sheet1!B258</f>
        <v>   04/17</v>
      </c>
      <c r="B209">
        <f>Sheet1!L258</f>
        <v>1.2098885372463835</v>
      </c>
      <c r="C209">
        <f>Sheet1!N258</f>
        <v>3.2064833175043153</v>
      </c>
      <c r="D209">
        <f>Sheet1!P258</f>
        <v>3.3105162401494717</v>
      </c>
      <c r="E209">
        <f>Sheet1!T258</f>
        <v>2.4417287512547228</v>
      </c>
    </row>
    <row r="210" spans="1:5" ht="12.75">
      <c r="A210" t="str">
        <f>Sheet1!B261</f>
        <v>   05/17</v>
      </c>
      <c r="B210">
        <f>Sheet1!L261</f>
        <v>1.2246840683432583</v>
      </c>
      <c r="C210">
        <f>Sheet1!N261</f>
        <v>3.1502979642104543</v>
      </c>
      <c r="D210">
        <f>Sheet1!P261</f>
        <v>3.2505744626798427</v>
      </c>
      <c r="E210">
        <f>Sheet1!T261</f>
        <v>2.42682085569275</v>
      </c>
    </row>
    <row r="211" spans="1:5" ht="12.75">
      <c r="A211" t="str">
        <f>Sheet1!B262</f>
        <v>   06/17</v>
      </c>
      <c r="B211">
        <f>Sheet1!L262</f>
        <v>1.2271220335095194</v>
      </c>
      <c r="C211">
        <f>Sheet1!N262</f>
        <v>3.23489854427578</v>
      </c>
      <c r="D211">
        <f>Sheet1!P262</f>
        <v>3.3474671423946956</v>
      </c>
      <c r="E211">
        <f>Sheet1!T262</f>
        <v>2.4661282204643498</v>
      </c>
    </row>
    <row r="212" spans="1:5" ht="12.75">
      <c r="A212" t="str">
        <f>Sheet1!B263</f>
        <v>   07/17</v>
      </c>
      <c r="B212">
        <f>Sheet1!L263</f>
        <v>1.2670510423602865</v>
      </c>
      <c r="C212">
        <f>Sheet1!N263</f>
        <v>3.2364858408116346</v>
      </c>
      <c r="D212">
        <f>Sheet1!P263</f>
        <v>3.4096008507801</v>
      </c>
      <c r="E212">
        <f>Sheet1!T263</f>
        <v>2.5011638792707993</v>
      </c>
    </row>
    <row r="213" spans="1:5" ht="12.75">
      <c r="A213" t="str">
        <f>Sheet1!B264</f>
        <v>   08/17</v>
      </c>
      <c r="B213">
        <f>Sheet1!L264</f>
        <v>1.29078032927224</v>
      </c>
      <c r="C213">
        <f>Sheet1!N264</f>
        <v>3.1370573803669393</v>
      </c>
      <c r="D213">
        <f>Sheet1!P264</f>
        <v>3.385032733673704</v>
      </c>
      <c r="E213">
        <f>Sheet1!T264</f>
        <v>2.488924886629297</v>
      </c>
    </row>
    <row r="214" spans="1:5" ht="12.75">
      <c r="A214" t="str">
        <f>Sheet1!B265</f>
        <v>   09/17</v>
      </c>
      <c r="B214">
        <f>Sheet1!L265</f>
        <v>1.2972865448779645</v>
      </c>
      <c r="C214">
        <f>Sheet1!N265</f>
        <v>3.3481441716037517</v>
      </c>
      <c r="D214">
        <f>Sheet1!P265</f>
        <v>3.449710062914927</v>
      </c>
      <c r="E214">
        <f>Sheet1!T265</f>
        <v>2.5510107586732707</v>
      </c>
    </row>
    <row r="215" spans="1:5" ht="12.75">
      <c r="A215" t="str">
        <f>Sheet1!B266</f>
        <v>   10/17</v>
      </c>
      <c r="B215">
        <f>Sheet1!L266</f>
        <v>1.3522172955585736</v>
      </c>
      <c r="C215">
        <f>Sheet1!N266</f>
        <v>3.4013885337446164</v>
      </c>
      <c r="D215">
        <f>Sheet1!P266</f>
        <v>3.4711100225625064</v>
      </c>
      <c r="E215">
        <f>Sheet1!T266</f>
        <v>2.594704764221387</v>
      </c>
    </row>
    <row r="216" spans="1:5" ht="12.75">
      <c r="A216" t="str">
        <f>Sheet1!B267</f>
        <v>   11/17</v>
      </c>
      <c r="B216">
        <f>Sheet1!L267</f>
        <v>1.4006308462886197</v>
      </c>
      <c r="C216">
        <f>Sheet1!N267</f>
        <v>3.54091429226905</v>
      </c>
      <c r="D216">
        <f>Sheet1!P267</f>
        <v>3.5485106621225997</v>
      </c>
      <c r="E216">
        <f>Sheet1!T267</f>
        <v>2.6648139770075994</v>
      </c>
    </row>
    <row r="217" spans="1:5" ht="12.75">
      <c r="A217" t="str">
        <f>Sheet1!B268</f>
        <v>   12/17</v>
      </c>
      <c r="B217">
        <f>Sheet1!L268</f>
        <v>1.4072095280582104</v>
      </c>
      <c r="C217">
        <f>Sheet1!N268</f>
        <v>3.5204102069684753</v>
      </c>
      <c r="D217">
        <f>Sheet1!P268</f>
        <v>3.5672568586752456</v>
      </c>
      <c r="E217">
        <f>Sheet1!T268</f>
        <v>2.669658401068257</v>
      </c>
    </row>
    <row r="218" spans="1:5" ht="12.75">
      <c r="A218" t="str">
        <f>Sheet1!B269</f>
        <v>   01/18</v>
      </c>
      <c r="B218">
        <f>Sheet1!L269</f>
        <v>1.47519112973048</v>
      </c>
      <c r="C218">
        <f>Sheet1!N269</f>
        <v>3.5839157266931556</v>
      </c>
      <c r="D218">
        <f>Sheet1!P269</f>
        <v>3.7315903339017744</v>
      </c>
      <c r="E218">
        <f>Sheet1!T269</f>
        <v>2.75065793961358</v>
      </c>
    </row>
    <row r="219" spans="1:5" ht="12.75">
      <c r="A219" t="str">
        <f>Sheet1!B270</f>
        <v>   02/18</v>
      </c>
      <c r="B219">
        <f>Sheet1!L270</f>
        <v>1.438578884486519</v>
      </c>
      <c r="C219">
        <f>Sheet1!N270</f>
        <v>3.452511232844098</v>
      </c>
      <c r="D219">
        <f>Sheet1!P270</f>
        <v>3.5573332060117764</v>
      </c>
      <c r="E219">
        <f>Sheet1!T270</f>
        <v>2.660514408057877</v>
      </c>
    </row>
    <row r="220" spans="1:5" ht="12.75">
      <c r="A220" t="str">
        <f>Sheet1!B271</f>
        <v>   03/18</v>
      </c>
      <c r="B220">
        <f>Sheet1!L271</f>
        <v>1.396997875940114</v>
      </c>
      <c r="C220">
        <f>Sheet1!N271</f>
        <v>3.527534755073549</v>
      </c>
      <c r="D220">
        <f>Sheet1!P271</f>
        <v>3.43537118673451</v>
      </c>
      <c r="E220">
        <f>Sheet1!T271</f>
        <v>2.6344073846102063</v>
      </c>
    </row>
    <row r="221" spans="1:5" ht="12.75">
      <c r="A221" t="str">
        <f>Sheet1!B274</f>
        <v>   04/18</v>
      </c>
      <c r="B221">
        <f>Sheet1!L274</f>
        <v>1.4026768677293966</v>
      </c>
      <c r="C221">
        <f>C220</f>
        <v>3.527534755073549</v>
      </c>
      <c r="D221">
        <f>Sheet1!P274</f>
        <v>3.409075242189519</v>
      </c>
      <c r="E221">
        <f>Sheet1!T274</f>
        <v>2.628394993293411</v>
      </c>
    </row>
    <row r="222" spans="1:5" ht="12.75">
      <c r="A222" t="str">
        <f>Sheet1!B275</f>
        <v>   05/18</v>
      </c>
      <c r="B222">
        <f>Sheet1!L275</f>
        <v>1.4598877035374889</v>
      </c>
      <c r="C222">
        <f aca="true" t="shared" si="0" ref="C222:C230">C221</f>
        <v>3.527534755073549</v>
      </c>
      <c r="D222">
        <f>Sheet1!P275</f>
        <v>3.4673175951394453</v>
      </c>
      <c r="E222">
        <f>Sheet1!T275</f>
        <v>2.689520042682775</v>
      </c>
    </row>
    <row r="223" spans="1:5" ht="12.75">
      <c r="A223" t="str">
        <f>Sheet1!B276</f>
        <v>   06/18</v>
      </c>
      <c r="B223">
        <f>Sheet1!L276</f>
        <v>1.4739741112851055</v>
      </c>
      <c r="C223">
        <f t="shared" si="0"/>
        <v>3.527534755073549</v>
      </c>
      <c r="D223">
        <f>Sheet1!P276</f>
        <v>3.463412926835356</v>
      </c>
      <c r="E223">
        <f>Sheet1!T276</f>
        <v>2.6983160358397833</v>
      </c>
    </row>
    <row r="224" spans="1:5" ht="12.75">
      <c r="A224" t="str">
        <f>Sheet1!B277</f>
        <v>   07/18</v>
      </c>
      <c r="B224">
        <f>Sheet1!L277</f>
        <v>1.480363872370209</v>
      </c>
      <c r="C224">
        <f t="shared" si="0"/>
        <v>3.527534755073549</v>
      </c>
      <c r="D224">
        <f>Sheet1!P277</f>
        <v>3.6058559104937173</v>
      </c>
      <c r="E224">
        <f>Sheet1!T277</f>
        <v>2.745969222087778</v>
      </c>
    </row>
    <row r="225" spans="1:5" ht="12.75">
      <c r="A225" t="str">
        <f>Sheet1!B278</f>
        <v>   08/18</v>
      </c>
      <c r="B225">
        <f>Sheet1!L278</f>
        <v>1.541795796194399</v>
      </c>
      <c r="C225">
        <f t="shared" si="0"/>
        <v>3.527534755073549</v>
      </c>
      <c r="D225">
        <f>Sheet1!P278</f>
        <v>3.6356667540480108</v>
      </c>
      <c r="E225">
        <f>Sheet1!T278</f>
        <v>2.801215302776425</v>
      </c>
    </row>
    <row r="226" spans="1:5" ht="12.75">
      <c r="A226" t="str">
        <f>Sheet1!B279</f>
        <v>   09/18</v>
      </c>
      <c r="B226">
        <f>Sheet1!L279</f>
        <v>1.5427354400381266</v>
      </c>
      <c r="C226">
        <f t="shared" si="0"/>
        <v>3.527534755073549</v>
      </c>
      <c r="D226">
        <f>Sheet1!P279</f>
        <v>3.6246384606777067</v>
      </c>
      <c r="E226">
        <f>Sheet1!T279</f>
        <v>2.7974674135696342</v>
      </c>
    </row>
    <row r="227" spans="1:5" ht="12.75">
      <c r="A227" t="str">
        <f>Sheet1!B281</f>
        <v>   10/18</v>
      </c>
      <c r="B227">
        <f>Sheet1!L281</f>
        <v>1.3959843377914039</v>
      </c>
      <c r="C227">
        <f t="shared" si="0"/>
        <v>3.527534755073549</v>
      </c>
      <c r="D227">
        <f>Sheet1!P281</f>
        <v>3.374536954987906</v>
      </c>
      <c r="E227">
        <f>Sheet1!T281</f>
        <v>2.6122435176846865</v>
      </c>
    </row>
    <row r="228" spans="1:5" ht="12.75">
      <c r="A228" t="str">
        <f>Sheet1!B282</f>
        <v>   11/18</v>
      </c>
      <c r="B228">
        <f>Sheet1!L282</f>
        <v>1.3809522673722392</v>
      </c>
      <c r="C228">
        <f t="shared" si="0"/>
        <v>3.527534755073549</v>
      </c>
      <c r="D228">
        <f>Sheet1!P282</f>
        <v>3.4704534610384212</v>
      </c>
      <c r="E228">
        <f>Sheet1!T282</f>
        <v>2.6311440923341562</v>
      </c>
    </row>
    <row r="229" spans="1:5" ht="12.75">
      <c r="A229" t="str">
        <f>Sheet1!B283</f>
        <v>   12/18</v>
      </c>
      <c r="B229">
        <f>Sheet1!L283</f>
        <v>1.269400451560266</v>
      </c>
      <c r="C229">
        <f t="shared" si="0"/>
        <v>3.527534755073549</v>
      </c>
      <c r="D229">
        <f>Sheet1!P283</f>
        <v>3.1117951320662742</v>
      </c>
      <c r="E229">
        <f>Sheet1!T283</f>
        <v>2.448048587100026</v>
      </c>
    </row>
    <row r="230" spans="1:7" ht="12.75">
      <c r="A230" t="str">
        <f>Sheet1!B284</f>
        <v>   01/19</v>
      </c>
      <c r="B230">
        <f>Sheet1!L284</f>
        <v>1.3954850782511317</v>
      </c>
      <c r="C230">
        <f t="shared" si="0"/>
        <v>3.527534755073549</v>
      </c>
      <c r="D230">
        <f>Sheet1!P284</f>
        <v>3.3414938395934355</v>
      </c>
      <c r="E230">
        <f>Sheet1!T284</f>
        <v>2.608668466979551</v>
      </c>
      <c r="G230" t="s">
        <v>361</v>
      </c>
    </row>
    <row r="231" spans="1:7" ht="12.75">
      <c r="A231" t="str">
        <f>Sheet1!B285</f>
        <v>   02/19</v>
      </c>
      <c r="B231">
        <f>Sheet1!L285</f>
        <v>1.4478254524979226</v>
      </c>
      <c r="C231">
        <f>G231*C230</f>
        <v>3.527534755073549</v>
      </c>
      <c r="D231">
        <f>Sheet1!P285</f>
        <v>3.3980329010741634</v>
      </c>
      <c r="E231">
        <f>Sheet1!T285</f>
        <v>2.6705121292675766</v>
      </c>
      <c r="G231">
        <f>Sheet1!N285</f>
        <v>1</v>
      </c>
    </row>
    <row r="232" spans="1:7" ht="12.75">
      <c r="A232" t="str">
        <f>Sheet1!B287</f>
        <v>   03/19</v>
      </c>
      <c r="B232">
        <f>Sheet1!L287</f>
        <v>1.5097802082673524</v>
      </c>
      <c r="C232">
        <f>G232/G231*C231</f>
        <v>3.546156812618997</v>
      </c>
      <c r="D232">
        <f>Sheet1!P287</f>
        <v>3.4494440547087817</v>
      </c>
      <c r="E232">
        <f>Sheet1!T287</f>
        <v>2.730581760055562</v>
      </c>
      <c r="G232">
        <f>Sheet1!N287</f>
        <v>1.0052790571428571</v>
      </c>
    </row>
    <row r="233" spans="1:7" ht="12.75">
      <c r="A233" t="str">
        <f>Sheet1!B288</f>
        <v>   04/19</v>
      </c>
      <c r="B233">
        <f>Sheet1!L288</f>
        <v>1.5697427635578751</v>
      </c>
      <c r="C233">
        <f aca="true" t="shared" si="1" ref="C233:C245">G233/G232*C232</f>
        <v>3.676233951205383</v>
      </c>
      <c r="D233">
        <f>Sheet1!P288</f>
        <v>3.5502445673127534</v>
      </c>
      <c r="E233">
        <f>Sheet1!T288</f>
        <v>2.8101191438649753</v>
      </c>
      <c r="G233">
        <f>Sheet1!N288</f>
        <v>1.0421538571428572</v>
      </c>
    </row>
    <row r="234" spans="1:7" ht="12.75">
      <c r="A234" t="str">
        <f>Sheet1!B291</f>
        <v>   05/19</v>
      </c>
      <c r="B234">
        <f>Sheet1!L291</f>
        <v>1.4627022986871072</v>
      </c>
      <c r="C234">
        <f t="shared" si="1"/>
        <v>3.50535350010279</v>
      </c>
      <c r="D234">
        <f>Sheet1!P291</f>
        <v>3.345119125300834</v>
      </c>
      <c r="E234">
        <f>Sheet1!T291</f>
        <v>2.6759600817925686</v>
      </c>
      <c r="G234">
        <f>Sheet1!N291</f>
        <v>0.9937119669937039</v>
      </c>
    </row>
    <row r="235" spans="1:9" ht="12.75">
      <c r="A235" t="str">
        <f>Sheet1!B292</f>
        <v>   06/19</v>
      </c>
      <c r="B235">
        <f>Sheet1!L292</f>
        <v>1.5658954246979166</v>
      </c>
      <c r="C235">
        <f t="shared" si="1"/>
        <v>3.7269402137636622</v>
      </c>
      <c r="D235">
        <f>Sheet1!P292</f>
        <v>3.5774649998467756</v>
      </c>
      <c r="E235">
        <f>Sheet1!T292</f>
        <v>2.832549000603649</v>
      </c>
      <c r="G235">
        <f>Sheet1!N292</f>
        <v>1.0565282761291903</v>
      </c>
      <c r="I235" t="s">
        <v>155</v>
      </c>
    </row>
    <row r="236" spans="1:7" ht="12.75">
      <c r="A236" t="str">
        <f>Sheet1!B293</f>
        <v>   07/19</v>
      </c>
      <c r="B236">
        <f>Sheet1!L293</f>
        <v>1.5970204483409227</v>
      </c>
      <c r="C236">
        <f t="shared" si="1"/>
        <v>3.7949046228035614</v>
      </c>
      <c r="D236">
        <f>Sheet1!P293</f>
        <v>3.5907509463080913</v>
      </c>
      <c r="E236">
        <f>Sheet1!T293</f>
        <v>2.8646965013501964</v>
      </c>
      <c r="G236">
        <f>Sheet1!N293</f>
        <v>1.075795105163872</v>
      </c>
    </row>
    <row r="237" spans="1:10" ht="12.75">
      <c r="A237" t="str">
        <f>Sheet1!B294</f>
        <v>   08/19</v>
      </c>
      <c r="B237">
        <f>Sheet1!L294</f>
        <v>1.5830385852615272</v>
      </c>
      <c r="C237">
        <f t="shared" si="1"/>
        <v>3.7885328370133706</v>
      </c>
      <c r="D237">
        <f>Sheet1!P294</f>
        <v>3.647226862866694</v>
      </c>
      <c r="E237">
        <f>Sheet1!T294</f>
        <v>2.878866647816604</v>
      </c>
      <c r="G237">
        <f>Sheet1!N294</f>
        <v>1.0739888052313122</v>
      </c>
      <c r="H237" t="s">
        <v>155</v>
      </c>
      <c r="I237" t="s">
        <v>155</v>
      </c>
      <c r="J237" t="s">
        <v>155</v>
      </c>
    </row>
    <row r="238" spans="1:7" ht="12.75">
      <c r="A238" t="str">
        <f>Sheet1!B295</f>
        <v>   09/19</v>
      </c>
      <c r="B238">
        <f>Sheet1!L295</f>
        <v>1.580779452210379</v>
      </c>
      <c r="C238">
        <f t="shared" si="1"/>
        <v>3.7702786290868016</v>
      </c>
      <c r="D238">
        <f>Sheet1!P295</f>
        <v>3.666037735396933</v>
      </c>
      <c r="E238">
        <f>Sheet1!T295</f>
        <v>2.87798487398666</v>
      </c>
      <c r="G238">
        <f>Sheet1!N295</f>
        <v>1.0688140276050069</v>
      </c>
    </row>
    <row r="239" spans="1:7" ht="12.75">
      <c r="A239" t="str">
        <f>Sheet1!B296</f>
        <v>   10/19</v>
      </c>
      <c r="B239">
        <f>Sheet1!L296</f>
        <v>1.6391249848652998</v>
      </c>
      <c r="C239">
        <f t="shared" si="1"/>
        <v>3.8365269871257026</v>
      </c>
      <c r="D239">
        <f>Sheet1!P296</f>
        <v>3.6361665055877297</v>
      </c>
      <c r="E239">
        <f>Sheet1!T296</f>
        <v>2.9167479936094516</v>
      </c>
      <c r="G239">
        <f>Sheet1!N296</f>
        <v>1.0875943834735404</v>
      </c>
    </row>
    <row r="240" spans="1:7" ht="12.75">
      <c r="A240" t="str">
        <f>Sheet1!B297</f>
        <v>   11/19</v>
      </c>
      <c r="B240">
        <f>Sheet1!L297</f>
        <v>1.7058284522860316</v>
      </c>
      <c r="C240">
        <f t="shared" si="1"/>
        <v>3.9387152032994837</v>
      </c>
      <c r="D240">
        <f>Sheet1!P297</f>
        <v>3.7824092420701168</v>
      </c>
      <c r="E240">
        <f>Sheet1!T297</f>
        <v>3.0073958589525294</v>
      </c>
      <c r="G240">
        <f>Sheet1!N297</f>
        <v>1.1165631175240858</v>
      </c>
    </row>
    <row r="241" spans="1:7" ht="12.75">
      <c r="A241" t="str">
        <f>Sheet1!B298</f>
        <v>   12/19</v>
      </c>
      <c r="B241">
        <f>Sheet1!L298</f>
        <v>1.7452257714808654</v>
      </c>
      <c r="C241">
        <f t="shared" si="1"/>
        <v>4.012295827386462</v>
      </c>
      <c r="D241">
        <f>Sheet1!P298</f>
        <v>3.794942097753688</v>
      </c>
      <c r="E241">
        <f>Sheet1!T298</f>
        <v>3.045801972455573</v>
      </c>
      <c r="G241">
        <f>Sheet1!N298</f>
        <v>1.1374220542024982</v>
      </c>
    </row>
    <row r="242" spans="1:7" ht="12.75">
      <c r="A242" t="str">
        <f>Sheet1!B299</f>
        <v>   01/20</v>
      </c>
      <c r="B242">
        <f>Sheet1!L299</f>
        <v>1.7725130722919027</v>
      </c>
      <c r="C242">
        <f t="shared" si="1"/>
        <v>4.0561172361446864</v>
      </c>
      <c r="D242">
        <f>Sheet1!P299</f>
        <v>3.766376506911879</v>
      </c>
      <c r="E242">
        <f>Sheet1!T299</f>
        <v>3.0611793488469132</v>
      </c>
      <c r="G242">
        <f>Sheet1!N299</f>
        <v>1.1498447266354763</v>
      </c>
    </row>
    <row r="243" spans="1:7" ht="12.75">
      <c r="A243" t="str">
        <f>Sheet1!B300</f>
        <v>   02/20</v>
      </c>
      <c r="B243">
        <f>Sheet1!L300</f>
        <v>1.6602413976906703</v>
      </c>
      <c r="C243">
        <f t="shared" si="1"/>
        <v>3.7238435915253913</v>
      </c>
      <c r="D243">
        <f>Sheet1!P300</f>
        <v>3.408920349017882</v>
      </c>
      <c r="E243">
        <f>Sheet1!T300</f>
        <v>2.870487397851583</v>
      </c>
      <c r="G243">
        <f>Sheet1!N300</f>
        <v>1.0556504329743308</v>
      </c>
    </row>
    <row r="244" spans="1:10" ht="12.75">
      <c r="A244" t="str">
        <f>Sheet1!B301</f>
        <v>   03/20</v>
      </c>
      <c r="B244">
        <f>Sheet1!L301</f>
        <v>1.425614523156039</v>
      </c>
      <c r="C244">
        <f t="shared" si="1"/>
        <v>3.087446739657697</v>
      </c>
      <c r="D244">
        <f>Sheet1!P301</f>
        <v>3.018283786280079</v>
      </c>
      <c r="E244">
        <f>Sheet1!T301</f>
        <v>2.5313437647087644</v>
      </c>
      <c r="G244">
        <f>Sheet1!N301</f>
        <v>0.8752420469329505</v>
      </c>
      <c r="I244" t="s">
        <v>155</v>
      </c>
      <c r="J244" t="s">
        <v>155</v>
      </c>
    </row>
    <row r="245" spans="1:7" ht="12.75">
      <c r="A245" t="str">
        <f>Sheet1!B302</f>
        <v>   04/20</v>
      </c>
      <c r="B245">
        <f>Sheet1!L302</f>
        <v>1.6439253512899068</v>
      </c>
      <c r="C245">
        <f t="shared" si="1"/>
        <v>3.4914975928411685</v>
      </c>
      <c r="D245">
        <f>Sheet1!P302</f>
        <v>3.2896992811296517</v>
      </c>
      <c r="E245">
        <f>Sheet1!T302</f>
        <v>2.7993228060400943</v>
      </c>
      <c r="G245">
        <f>Sheet1!N302</f>
        <v>0.989784037653903</v>
      </c>
    </row>
    <row r="246" spans="1:7" ht="12.75">
      <c r="A246" t="str">
        <f>Sheet1!B305</f>
        <v>   05/20</v>
      </c>
      <c r="B246">
        <f>Sheet1!L305</f>
        <v>1.8064940391293338</v>
      </c>
      <c r="C246">
        <f>G246/G245*C245</f>
        <v>3.6448798428541536</v>
      </c>
      <c r="D246">
        <f>Sheet1!P305</f>
        <v>3.399694419651404</v>
      </c>
      <c r="E246">
        <f>Sheet1!T305</f>
        <v>2.953178796814182</v>
      </c>
      <c r="G246">
        <f>Sheet1!N305</f>
        <v>1.0332654660912501</v>
      </c>
    </row>
    <row r="247" spans="1:7" ht="12.75">
      <c r="A247" t="str">
        <f>Sheet1!B306</f>
        <v>   06/20</v>
      </c>
      <c r="B247">
        <f>Sheet1!L306</f>
        <v>1.9334876541841122</v>
      </c>
      <c r="C247">
        <f aca="true" t="shared" si="2" ref="C247:C252">G247/G246*C246</f>
        <v>3.747761672920366</v>
      </c>
      <c r="D247">
        <f>Sheet1!P306</f>
        <v>3.454375956297339</v>
      </c>
      <c r="E247">
        <f>Sheet1!T306</f>
        <v>3.062919540249454</v>
      </c>
      <c r="G247">
        <f>Sheet1!N306</f>
        <v>1.0624308286488382</v>
      </c>
    </row>
    <row r="248" spans="1:7" ht="12.75">
      <c r="A248" t="str">
        <f>Sheet1!B307</f>
        <v>   07/20</v>
      </c>
      <c r="B248">
        <f>Sheet1!L307</f>
        <v>2.0580318415650676</v>
      </c>
      <c r="C248">
        <f t="shared" si="2"/>
        <v>3.929117890000547</v>
      </c>
      <c r="D248">
        <f>Sheet1!P307</f>
        <v>3.634668761641349</v>
      </c>
      <c r="E248">
        <f>Sheet1!T307</f>
        <v>3.217087430373285</v>
      </c>
      <c r="G248">
        <f>Sheet1!N307</f>
        <v>1.1138424318426385</v>
      </c>
    </row>
    <row r="249" spans="1:7" ht="12.75">
      <c r="A249" t="str">
        <f>Sheet1!B308</f>
        <v>   08/20</v>
      </c>
      <c r="B249">
        <f>Sheet1!L308</f>
        <v>2.29083338129161</v>
      </c>
      <c r="C249">
        <f t="shared" si="2"/>
        <v>4.25808407958163</v>
      </c>
      <c r="D249">
        <f>Sheet1!P308</f>
        <v>3.788947675389332</v>
      </c>
      <c r="E249">
        <f>Sheet1!T308</f>
        <v>3.437879255696154</v>
      </c>
      <c r="G249">
        <f>Sheet1!N308</f>
        <v>1.207099114603295</v>
      </c>
    </row>
    <row r="250" spans="1:7" ht="12.75">
      <c r="A250" t="str">
        <f>Sheet1!B309</f>
        <v>   09/20</v>
      </c>
      <c r="B250">
        <f>Sheet1!L309</f>
        <v>2.1531086552948597</v>
      </c>
      <c r="C250">
        <f t="shared" si="2"/>
        <v>4.107672677148143</v>
      </c>
      <c r="D250">
        <f>Sheet1!P309</f>
        <v>3.718331907713985</v>
      </c>
      <c r="E250">
        <f>Sheet1!T309</f>
        <v>3.314696401781512</v>
      </c>
      <c r="G250">
        <f>Sheet1!N309</f>
        <v>1.1644598742054066</v>
      </c>
    </row>
    <row r="251" spans="1:7" ht="12.75">
      <c r="A251" t="str">
        <f>Sheet1!B310</f>
        <v>   10/20</v>
      </c>
      <c r="B251">
        <f>Sheet1!L310</f>
        <v>2.131706271308397</v>
      </c>
      <c r="C251">
        <f t="shared" si="2"/>
        <v>4.042450871991027</v>
      </c>
      <c r="D251">
        <f>Sheet1!P310</f>
        <v>3.653589703336253</v>
      </c>
      <c r="E251">
        <f>Sheet1!T310</f>
        <v>3.2744695851107166</v>
      </c>
      <c r="G251">
        <f>Sheet1!N310</f>
        <v>1.1459705297522274</v>
      </c>
    </row>
    <row r="252" spans="1:7" ht="12.75">
      <c r="A252" t="str">
        <f>Sheet1!B311</f>
        <v>   11/20</v>
      </c>
      <c r="B252">
        <f>Sheet1!L311</f>
        <v>2.327255668829493</v>
      </c>
      <c r="C252">
        <f t="shared" si="2"/>
        <v>4.4727582880001995</v>
      </c>
      <c r="D252">
        <f>Sheet1!P311</f>
        <v>4.077755052042724</v>
      </c>
      <c r="E252">
        <f>Sheet1!T311</f>
        <v>3.564755646876769</v>
      </c>
      <c r="G252">
        <f>Sheet1!N311</f>
        <v>1.2679558384413268</v>
      </c>
    </row>
    <row r="253" spans="1:7" ht="12.75">
      <c r="A253" t="str">
        <f>Sheet1!B312</f>
        <v>   12/20</v>
      </c>
      <c r="B253">
        <f>Sheet1!L312</f>
        <v>2.4220089321887133</v>
      </c>
      <c r="C253">
        <f aca="true" t="shared" si="3" ref="C253:C261">G253/G252*C252</f>
        <v>4.5854053999878035</v>
      </c>
      <c r="D253">
        <f>Sheet1!P312</f>
        <v>4.2944054449094855</v>
      </c>
      <c r="E253">
        <f>Sheet1!T312</f>
        <v>3.6928666736324227</v>
      </c>
      <c r="G253">
        <f>Sheet1!N312</f>
        <v>1.2998895031134006</v>
      </c>
    </row>
    <row r="254" spans="1:7" ht="12.75">
      <c r="A254" t="str">
        <f>Sheet1!B313</f>
        <v>   01/21</v>
      </c>
      <c r="B254">
        <f>Sheet1!L313</f>
        <v>2.4634626171997303</v>
      </c>
      <c r="C254">
        <f t="shared" si="3"/>
        <v>4.4884978411356515</v>
      </c>
      <c r="D254">
        <f>Sheet1!P313</f>
        <v>4.360791578183115</v>
      </c>
      <c r="E254">
        <f>Sheet1!T313</f>
        <v>3.7181393757805687</v>
      </c>
      <c r="G254">
        <f>Sheet1!N313</f>
        <v>1.2724177514282407</v>
      </c>
    </row>
    <row r="255" spans="1:7" ht="12.75">
      <c r="A255" t="str">
        <f>Sheet1!B314</f>
        <v>   02/21</v>
      </c>
      <c r="B255">
        <f>Sheet1!L314</f>
        <v>2.575793558585918</v>
      </c>
      <c r="C255">
        <f t="shared" si="3"/>
        <v>4.549431684541351</v>
      </c>
      <c r="D255">
        <f>Sheet1!P314</f>
        <v>4.5636506095218285</v>
      </c>
      <c r="E255">
        <f>Sheet1!T314</f>
        <v>3.8386293306727346</v>
      </c>
      <c r="G255">
        <f>Sheet1!N314</f>
        <v>1.2896915269220355</v>
      </c>
    </row>
    <row r="256" spans="1:7" ht="12.75">
      <c r="A256" t="str">
        <f>Sheet1!B315</f>
        <v>   03/21</v>
      </c>
      <c r="B256">
        <f>Sheet1!L315</f>
        <v>2.5242300834103353</v>
      </c>
      <c r="C256">
        <f t="shared" si="3"/>
        <v>4.668479548137372</v>
      </c>
      <c r="D256">
        <f>Sheet1!P315</f>
        <v>4.811612030571526</v>
      </c>
      <c r="E256">
        <f>Sheet1!T315</f>
        <v>3.87869620717455</v>
      </c>
      <c r="G256">
        <f>Sheet1!N315</f>
        <v>1.323439702875454</v>
      </c>
    </row>
    <row r="257" spans="1:7" ht="12.75">
      <c r="A257" t="str">
        <f>Sheet1!B316</f>
        <v>   04/21</v>
      </c>
      <c r="B257">
        <f>Sheet1!L316</f>
        <v>2.6705669255865847</v>
      </c>
      <c r="C257">
        <f t="shared" si="3"/>
        <v>4.8106848871761985</v>
      </c>
      <c r="D257">
        <f>Sheet1!P316</f>
        <v>5.01750030254327</v>
      </c>
      <c r="E257">
        <f>Sheet1!T316</f>
        <v>4.044429670641267</v>
      </c>
      <c r="G257">
        <f>Sheet1!N316</f>
        <v>1.363752654812865</v>
      </c>
    </row>
    <row r="258" spans="1:7" ht="12.75">
      <c r="A258" t="str">
        <f>Sheet1!B318</f>
        <v>   05/21</v>
      </c>
      <c r="B258">
        <f>Sheet1!L318</f>
        <v>2.6455771087012248</v>
      </c>
      <c r="C258">
        <f t="shared" si="3"/>
        <v>4.877356288317683</v>
      </c>
      <c r="D258">
        <f>Sheet1!P318</f>
        <v>5.3425554461867995</v>
      </c>
      <c r="E258">
        <f>Sheet1!T318</f>
        <v>4.12754990069745</v>
      </c>
      <c r="G258">
        <f>Sheet1!N318</f>
        <v>1.3826529366727653</v>
      </c>
    </row>
    <row r="259" spans="1:7" ht="12.75">
      <c r="A259" t="str">
        <f>Sheet1!B319</f>
        <v>   06/21</v>
      </c>
      <c r="B259">
        <f>Sheet1!L319</f>
        <v>2.793553706937744</v>
      </c>
      <c r="C259">
        <f t="shared" si="3"/>
        <v>5.0383041899528145</v>
      </c>
      <c r="D259">
        <f>Sheet1!P319</f>
        <v>5.246187957948191</v>
      </c>
      <c r="E259">
        <f>Sheet1!T319</f>
        <v>4.206498214801586</v>
      </c>
      <c r="G259">
        <f>Sheet1!N319</f>
        <v>1.4282791070183998</v>
      </c>
    </row>
    <row r="260" spans="1:7" ht="12.75">
      <c r="A260" t="str">
        <f>Sheet1!B320</f>
        <v>   07/21</v>
      </c>
      <c r="B260">
        <f>Sheet1!L320</f>
        <v>2.7555015827851896</v>
      </c>
      <c r="C260">
        <f t="shared" si="3"/>
        <v>5.158103465801815</v>
      </c>
      <c r="D260">
        <f>Sheet1!P320</f>
        <v>5.114550367630741</v>
      </c>
      <c r="E260">
        <f>Sheet1!T320</f>
        <v>4.183272344854198</v>
      </c>
      <c r="G260">
        <f>Sheet1!N320</f>
        <v>1.4622402963948322</v>
      </c>
    </row>
    <row r="261" spans="1:7" ht="12.75">
      <c r="A261" t="str">
        <f>Sheet1!B321</f>
        <v>   08/21</v>
      </c>
      <c r="B261">
        <f>Sheet1!L321</f>
        <v>2.779550240273687</v>
      </c>
      <c r="C261">
        <f t="shared" si="3"/>
        <v>5.247603599495241</v>
      </c>
      <c r="D261">
        <f>Sheet1!P321</f>
        <v>5.18969219775552</v>
      </c>
      <c r="E261">
        <f>Sheet1!T321</f>
        <v>4.233118014552168</v>
      </c>
      <c r="G261">
        <f>Sheet1!N321</f>
        <v>1.4876121608575994</v>
      </c>
    </row>
    <row r="262" spans="1:7" ht="12.75">
      <c r="A262" t="str">
        <f>Sheet1!B322</f>
        <v>   09/21</v>
      </c>
      <c r="B262">
        <f>Sheet1!L322</f>
        <v>2.657722495142906</v>
      </c>
      <c r="C262">
        <f aca="true" t="shared" si="4" ref="C262:C268">G262/G261*C261</f>
        <v>4.976807137303289</v>
      </c>
      <c r="D262">
        <f>Sheet1!P322</f>
        <v>5.194115489160108</v>
      </c>
      <c r="E262">
        <f>Sheet1!T322</f>
        <v>4.111729674187075</v>
      </c>
      <c r="G262">
        <f>Sheet1!N322</f>
        <v>1.4108456706614436</v>
      </c>
    </row>
    <row r="263" spans="1:7" ht="12.75">
      <c r="A263" t="str">
        <f>Sheet1!B323</f>
        <v>   10/21</v>
      </c>
      <c r="B263">
        <f>Sheet1!L323</f>
        <v>2.80884497160084</v>
      </c>
      <c r="C263">
        <f t="shared" si="4"/>
        <v>5.304652724972258</v>
      </c>
      <c r="D263">
        <f>Sheet1!P323</f>
        <v>5.437055752330055</v>
      </c>
      <c r="E263">
        <f>Sheet1!T323</f>
        <v>4.3132671469783475</v>
      </c>
      <c r="G263">
        <f>Sheet1!N323</f>
        <v>1.503784680602434</v>
      </c>
    </row>
    <row r="264" spans="1:7" ht="12.75">
      <c r="A264" t="str">
        <f>Sheet1!B324</f>
        <v>   11/21</v>
      </c>
      <c r="B264">
        <f>Sheet1!L324</f>
        <v>2.73161361471023</v>
      </c>
      <c r="C264">
        <f t="shared" si="4"/>
        <v>5.169772456574879</v>
      </c>
      <c r="D264">
        <f>Sheet1!P324</f>
        <v>5.227589603144048</v>
      </c>
      <c r="E264">
        <f>Sheet1!T324</f>
        <v>4.199942371843535</v>
      </c>
      <c r="G264">
        <f>Sheet1!N324</f>
        <v>1.4655482696915607</v>
      </c>
    </row>
    <row r="265" spans="1:7" ht="12.75">
      <c r="A265" t="str">
        <f>Sheet1!B325</f>
        <v>   12/21</v>
      </c>
      <c r="B265">
        <f>Sheet1!L325</f>
        <v>2.7759504970563884</v>
      </c>
      <c r="C265">
        <f t="shared" si="4"/>
        <v>5.2284656234740705</v>
      </c>
      <c r="D265">
        <f>Sheet1!P325</f>
        <v>5.618210517769569</v>
      </c>
      <c r="E265">
        <f>Sheet1!T325</f>
        <v>4.328874071383927</v>
      </c>
      <c r="G265">
        <f>Sheet1!N325</f>
        <v>1.4821868490322108</v>
      </c>
    </row>
    <row r="266" spans="1:7" ht="12.75">
      <c r="A266" t="str">
        <f>Sheet1!B326</f>
        <v>   01/22</v>
      </c>
      <c r="B266">
        <f>Sheet1!L326</f>
        <v>2.531706433010211</v>
      </c>
      <c r="C266">
        <f t="shared" si="4"/>
        <v>4.824162139185292</v>
      </c>
      <c r="D266">
        <f>Sheet1!P326</f>
        <v>5.4170322357917975</v>
      </c>
      <c r="E266">
        <f>Sheet1!T326</f>
        <v>4.077282796955613</v>
      </c>
      <c r="G266">
        <f>Sheet1!N326</f>
        <v>1.3675732414108313</v>
      </c>
    </row>
    <row r="267" spans="1:7" ht="12.75">
      <c r="A267" t="str">
        <f>Sheet1!B327</f>
        <v>   02/22</v>
      </c>
      <c r="B267">
        <f>Sheet1!L327</f>
        <v>2.375100813266695</v>
      </c>
      <c r="C267">
        <f t="shared" si="4"/>
        <v>4.617156612328438</v>
      </c>
      <c r="D267">
        <f>Sheet1!P327</f>
        <v>5.390909921908665</v>
      </c>
      <c r="E267">
        <f>Sheet1!T327</f>
        <v>3.95272600426831</v>
      </c>
      <c r="G267">
        <f>Sheet1!N327</f>
        <v>1.3088904668303332</v>
      </c>
    </row>
    <row r="268" spans="1:7" ht="12.75">
      <c r="A268" t="str">
        <f>Sheet1!B328</f>
        <v>   03/22</v>
      </c>
      <c r="B268">
        <f>Sheet1!L328</f>
        <v>2.486217272409664</v>
      </c>
      <c r="C268">
        <f t="shared" si="4"/>
        <v>4.736387067607916</v>
      </c>
      <c r="D268">
        <f>Sheet1!P328</f>
        <v>5.539530252605899</v>
      </c>
      <c r="E268">
        <f>Sheet1!T328</f>
        <v>4.051322433638398</v>
      </c>
      <c r="G268">
        <f>Sheet1!N328</f>
        <v>1.342690404622014</v>
      </c>
    </row>
    <row r="269" spans="1:7" ht="12.75">
      <c r="A269" t="str">
        <f>Sheet1!B329</f>
        <v>   04/22</v>
      </c>
      <c r="B269">
        <f>Sheet1!L329</f>
        <v>2.176392945264354</v>
      </c>
      <c r="C269">
        <f>G269/G268*C268</f>
        <v>4.349288876459597</v>
      </c>
      <c r="D269">
        <f>Sheet1!P329</f>
        <v>5.142522618581296</v>
      </c>
      <c r="E269">
        <f>Sheet1!T329</f>
        <v>3.7143782185724565</v>
      </c>
      <c r="G269">
        <f>Sheet1!N329</f>
        <v>1.2329542239673608</v>
      </c>
    </row>
    <row r="270" spans="1:7" ht="12.75">
      <c r="A270" t="str">
        <f>Sheet1!B332</f>
        <v>   05/22</v>
      </c>
      <c r="B270">
        <f>Sheet1!L332</f>
        <v>2.13950501347087</v>
      </c>
      <c r="C270">
        <f>G270/G269*C269</f>
        <v>4.3088138595837515</v>
      </c>
      <c r="D270">
        <f>Sheet1!P332</f>
        <v>5.282409838245605</v>
      </c>
      <c r="E270">
        <f>Sheet1!T332</f>
        <v>3.728090313951752</v>
      </c>
      <c r="G270">
        <f>Sheet1!N332</f>
        <v>1.221480200410929</v>
      </c>
    </row>
    <row r="271" spans="1:7" ht="12.75">
      <c r="A271" t="str">
        <f>Sheet1!B333</f>
        <v>   06/22</v>
      </c>
      <c r="B271">
        <f>Sheet1!L333</f>
        <v>2.092054677515859</v>
      </c>
      <c r="C271">
        <f>G271/G270*C270</f>
        <v>4.0111522260783135</v>
      </c>
      <c r="D271">
        <f>Sheet1!P333</f>
        <v>4.646365564390978</v>
      </c>
      <c r="E271">
        <f>Sheet1!T333</f>
        <v>3.482077316681165</v>
      </c>
      <c r="G271">
        <f>Sheet1!N333</f>
        <v>1.1370978614198475</v>
      </c>
    </row>
    <row r="272" spans="1:7" ht="12.75">
      <c r="A272" t="str">
        <f>Sheet1!B334</f>
        <v>   07/22</v>
      </c>
      <c r="B272">
        <f>Sheet1!L334</f>
        <v>2.2468187951021963</v>
      </c>
      <c r="C272">
        <f>G272/G271*C271</f>
        <v>4.399914771146316</v>
      </c>
      <c r="D272">
        <f>Sheet1!P334</f>
        <v>5.044765577880174</v>
      </c>
      <c r="E272">
        <f>Sheet1!T334</f>
        <v>3.739322153207342</v>
      </c>
      <c r="G272">
        <f>Sheet1!N334</f>
        <v>1.2473058599403035</v>
      </c>
    </row>
    <row r="273" spans="1:7" ht="12.75">
      <c r="A273" t="str">
        <f>Sheet1!B335</f>
        <v>   08/22</v>
      </c>
      <c r="B273">
        <f>Sheet1!L335</f>
        <v>2.1675110748964146</v>
      </c>
      <c r="C273">
        <f>G273/G272*C272</f>
        <v>4.233346458957747</v>
      </c>
      <c r="D273">
        <f>Sheet1!P335</f>
        <v>4.932540241899819</v>
      </c>
      <c r="E273">
        <f>Sheet1!T335</f>
        <v>3.6269073556982288</v>
      </c>
      <c r="G273">
        <f>Sheet1!N335</f>
        <v>1.2000863925916123</v>
      </c>
    </row>
    <row r="274" spans="1:7" ht="12.75">
      <c r="A274" t="str">
        <f>Sheet1!B336</f>
        <v>   09/22</v>
      </c>
      <c r="B274">
        <f>Sheet1!L336</f>
        <v>1.9916136754396991</v>
      </c>
      <c r="C274">
        <f>G274/G273*C273</f>
        <v>3.868242562712193</v>
      </c>
      <c r="D274">
        <f>Sheet1!P336</f>
        <v>4.379365512910242</v>
      </c>
      <c r="E274">
        <f>Sheet1!T336</f>
        <v>3.312847060805264</v>
      </c>
      <c r="G274">
        <f>Sheet1!N336</f>
        <v>1.0965852447374524</v>
      </c>
    </row>
    <row r="275" spans="1:7" ht="12.75">
      <c r="A275" t="str">
        <f>Sheet1!B337</f>
        <v>   10/22</v>
      </c>
      <c r="B275">
        <f>Sheet1!L337</f>
        <v>2.018993012917655</v>
      </c>
      <c r="C275">
        <f>G275/G274*C274</f>
        <v>4.147691847630705</v>
      </c>
      <c r="D275">
        <f>Sheet1!P337</f>
        <v>4.839472488273088</v>
      </c>
      <c r="E275">
        <f>Sheet1!T337</f>
        <v>3.487799520459853</v>
      </c>
      <c r="G275">
        <f>Sheet1!N337</f>
        <v>1.175804672559273</v>
      </c>
    </row>
  </sheetData>
  <sheetProtection/>
  <mergeCells count="1">
    <mergeCell ref="B1:E1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MPSIF Home Page performance</dc:title>
  <dc:subject/>
  <dc:creator>Michael Keenan</dc:creator>
  <cp:keywords/>
  <dc:description/>
  <cp:lastModifiedBy>Tony Marciano</cp:lastModifiedBy>
  <cp:lastPrinted>2012-01-02T16:32:47Z</cp:lastPrinted>
  <dcterms:created xsi:type="dcterms:W3CDTF">2000-06-16T15:57:48Z</dcterms:created>
  <dcterms:modified xsi:type="dcterms:W3CDTF">2022-12-06T02:44:08Z</dcterms:modified>
  <cp:category/>
  <cp:version/>
  <cp:contentType/>
  <cp:contentStatus/>
</cp:coreProperties>
</file>